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955" tabRatio="402" activeTab="0"/>
  </bookViews>
  <sheets>
    <sheet name="Calculator" sheetId="1" r:id="rId1"/>
    <sheet name="Calculator_1X_50%" sheetId="2" r:id="rId2"/>
    <sheet name="Read_Me" sheetId="3" r:id="rId3"/>
    <sheet name="Read_Me_1X_50%" sheetId="4" r:id="rId4"/>
  </sheets>
  <definedNames>
    <definedName name="CapT" localSheetId="1">'Calculator_1X_50%'!$C$28</definedName>
    <definedName name="CapT">'Calculator'!$C$28</definedName>
    <definedName name="CT" localSheetId="1">'Calculator_1X_50%'!$C$14</definedName>
    <definedName name="CT">'Calculator'!$C$14</definedName>
    <definedName name="DeltaV" localSheetId="1">'Calculator_1X_50%'!$G$48</definedName>
    <definedName name="DeltaV">'Calculator'!$G$48</definedName>
    <definedName name="Mult" localSheetId="1">'Calculator_1X_50%'!$G$45</definedName>
    <definedName name="Mult">'Calculator'!$G$45</definedName>
    <definedName name="RA" localSheetId="1">'Calculator_1X_50%'!$C$12</definedName>
    <definedName name="RA">'Calculator'!$C$12</definedName>
    <definedName name="RB" localSheetId="1">'Calculator_1X_50%'!$C$13</definedName>
    <definedName name="RB">'Calculator'!$C$13</definedName>
    <definedName name="Res1">#REF!</definedName>
    <definedName name="Res2">#REF!</definedName>
    <definedName name="ResA" localSheetId="1">'Calculator_1X_50%'!$C$26</definedName>
    <definedName name="ResA">'Calculator'!$C$26</definedName>
    <definedName name="ResB" localSheetId="1">'Calculator_1X_50%'!$C$27</definedName>
    <definedName name="ResB">'Calculator'!$C$27</definedName>
    <definedName name="Rs">#REF!</definedName>
    <definedName name="Stage">#REF!</definedName>
    <definedName name="VDD" localSheetId="1">'Calculator_1X_50%'!$C$9</definedName>
    <definedName name="VDD">'Calculator'!$C$9</definedName>
    <definedName name="Voc">#REF!</definedName>
    <definedName name="VPP1">#REF!</definedName>
    <definedName name="VPP2">#REF!</definedName>
    <definedName name="XXX" localSheetId="1">'Calculator_1X_50%'!#REF!</definedName>
    <definedName name="XXX">'Calculator'!#REF!</definedName>
  </definedNames>
  <calcPr fullCalcOnLoad="1"/>
</workbook>
</file>

<file path=xl/sharedStrings.xml><?xml version="1.0" encoding="utf-8"?>
<sst xmlns="http://schemas.openxmlformats.org/spreadsheetml/2006/main" count="291" uniqueCount="125">
  <si>
    <t>CSS555 Timer Calculator</t>
  </si>
  <si>
    <t>for CSS555 &amp; CSS555C</t>
  </si>
  <si>
    <t>Monostable</t>
  </si>
  <si>
    <t>Astable</t>
  </si>
  <si>
    <t>Timing Components</t>
  </si>
  <si>
    <t>Meg</t>
  </si>
  <si>
    <t>Units</t>
  </si>
  <si>
    <t>K</t>
  </si>
  <si>
    <t>pF</t>
  </si>
  <si>
    <t>uF</t>
  </si>
  <si>
    <t>V</t>
  </si>
  <si>
    <t xml:space="preserve">Supply Voltage = </t>
  </si>
  <si>
    <t xml:space="preserve">Operating Mode = </t>
  </si>
  <si>
    <t xml:space="preserve">Multiplier = </t>
  </si>
  <si>
    <t>1K</t>
  </si>
  <si>
    <t>10K</t>
  </si>
  <si>
    <t>100K</t>
  </si>
  <si>
    <t>1M</t>
  </si>
  <si>
    <t>nF</t>
  </si>
  <si>
    <t>GREEN</t>
  </si>
  <si>
    <t>BLUE</t>
  </si>
  <si>
    <t>= Calculated Value</t>
  </si>
  <si>
    <t>sec</t>
  </si>
  <si>
    <t>Application Information</t>
  </si>
  <si>
    <t>Calculated Timing Values</t>
  </si>
  <si>
    <t>msec</t>
  </si>
  <si>
    <t>min</t>
  </si>
  <si>
    <t>hours</t>
  </si>
  <si>
    <t xml:space="preserve">Idle Current = </t>
  </si>
  <si>
    <t xml:space="preserve">Active Current = </t>
  </si>
  <si>
    <t>uA</t>
  </si>
  <si>
    <t>ohms</t>
  </si>
  <si>
    <t>farads</t>
  </si>
  <si>
    <t xml:space="preserve">RA = </t>
  </si>
  <si>
    <t xml:space="preserve">RB = </t>
  </si>
  <si>
    <t xml:space="preserve">CT = </t>
  </si>
  <si>
    <t xml:space="preserve">Charge Time = </t>
  </si>
  <si>
    <t>Tau, (0V to Vhigh)</t>
  </si>
  <si>
    <t>Tau, (Vlow to Vhigh)</t>
  </si>
  <si>
    <t>Tau, (Vhigh to Vlow)</t>
  </si>
  <si>
    <t xml:space="preserve">Discharge Time = </t>
  </si>
  <si>
    <t>sec, (0V to Vhigh)</t>
  </si>
  <si>
    <t>sec, (Vlow to Vhigh)</t>
  </si>
  <si>
    <t>sec, (Vhigh to Vlow)</t>
  </si>
  <si>
    <t xml:space="preserve">Delay, 1st cycle = </t>
  </si>
  <si>
    <t xml:space="preserve">Delay after 1st cycle = </t>
  </si>
  <si>
    <t>sec, (Vlow to Vhigh to Vlow)</t>
  </si>
  <si>
    <t xml:space="preserve">Total Delay = </t>
  </si>
  <si>
    <t xml:space="preserve">Rdiv = </t>
  </si>
  <si>
    <t>Current</t>
  </si>
  <si>
    <t xml:space="preserve">Ibias = </t>
  </si>
  <si>
    <t xml:space="preserve">RA_0 = </t>
  </si>
  <si>
    <t xml:space="preserve">RA_dyn = </t>
  </si>
  <si>
    <t xml:space="preserve">IDD0 = </t>
  </si>
  <si>
    <t xml:space="preserve">IDD = </t>
  </si>
  <si>
    <t>sec, (Vhigh to Vhigh/100)</t>
  </si>
  <si>
    <t>Tau, (Vhigh to Vhigh/100)</t>
  </si>
  <si>
    <t>RA</t>
  </si>
  <si>
    <t>Mode</t>
  </si>
  <si>
    <t>RB</t>
  </si>
  <si>
    <t>CapT</t>
  </si>
  <si>
    <t>Mult</t>
  </si>
  <si>
    <t>Delay Units</t>
  </si>
  <si>
    <t xml:space="preserve">Osc. Period = </t>
  </si>
  <si>
    <t xml:space="preserve">Frequency = </t>
  </si>
  <si>
    <t>Hz</t>
  </si>
  <si>
    <t xml:space="preserve">Osc. Duty Cycle = </t>
  </si>
  <si>
    <t>%</t>
  </si>
  <si>
    <t xml:space="preserve">Output Period = </t>
  </si>
  <si>
    <t>(RESET = 1, Oscillator running)</t>
  </si>
  <si>
    <t>= Input Value</t>
  </si>
  <si>
    <t>Notes:</t>
  </si>
  <si>
    <t>Green boxes indicate parameters that can be changed to match your application.</t>
  </si>
  <si>
    <t>Blue boxes are calculated parameters and are updated automatically.</t>
  </si>
  <si>
    <t>Select the units for timing resistors RA and RB (Meg or K ohms)</t>
  </si>
  <si>
    <t>Select the units for timing capacitor CT (uF, nF or pF)</t>
  </si>
  <si>
    <t>Enter the value for CT.  It is typically greater than 100pF for good timing accuracy and as small as possible for low cost.</t>
  </si>
  <si>
    <t>Note: If using the CSS555C, set this value to 100pF.</t>
  </si>
  <si>
    <t>Select the units for the output period (msec, sec, min or hours)</t>
  </si>
  <si>
    <t>It is a good design practice to limit the peak discharge current by selecting a value of RB greater than 1K.</t>
  </si>
  <si>
    <t>Select either the Astable or Monostable operating mode using the drop down arrow</t>
  </si>
  <si>
    <t>Select the Multiplier value. (1, 10, 100... 1M).  Choose this value to reduce the value (and cost) of the timing capacitor.</t>
  </si>
  <si>
    <t>In the Astable mode, the duty cycle is 50% for all multiplier values greater than 1.</t>
  </si>
  <si>
    <t>Color Code:</t>
  </si>
  <si>
    <t>Calculation Steps:</t>
  </si>
  <si>
    <t>To reduce timing errors due to leakage current, keep the value of RA and RB less than 10Meg ohms</t>
  </si>
  <si>
    <t>The power calculations include the charging current associated with RA.</t>
  </si>
  <si>
    <t>The value of the timing capacitor (CT) does not include stray capacitance associated with the package or the PCB.</t>
  </si>
  <si>
    <t>Enter the values for RA and RB.  They are typically above 10K for good timing accuracy and as high as possible to reduce power.</t>
  </si>
  <si>
    <t>CustomSiliconSolutions.com</t>
  </si>
  <si>
    <t>usec</t>
  </si>
  <si>
    <t xml:space="preserve">Period = </t>
  </si>
  <si>
    <t>msec, (Vlow to Vhigh to Vlow)</t>
  </si>
  <si>
    <t>WHITE</t>
  </si>
  <si>
    <t>= Fixed Value</t>
  </si>
  <si>
    <t>Not used</t>
  </si>
  <si>
    <t xml:space="preserve">Power Setting = </t>
  </si>
  <si>
    <t xml:space="preserve">Trip Levels = </t>
  </si>
  <si>
    <r>
      <t>R</t>
    </r>
    <r>
      <rPr>
        <b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= </t>
    </r>
  </si>
  <si>
    <r>
      <t>R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= </t>
    </r>
  </si>
  <si>
    <r>
      <t>C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 xml:space="preserve"> = </t>
    </r>
  </si>
  <si>
    <t>Power</t>
  </si>
  <si>
    <t>Micro</t>
  </si>
  <si>
    <t>Low</t>
  </si>
  <si>
    <t>Standard</t>
  </si>
  <si>
    <t>Low Volt</t>
  </si>
  <si>
    <t>Delta_V</t>
  </si>
  <si>
    <t>Comp Dly</t>
  </si>
  <si>
    <t>(RESET = 0, Discharge = GND)</t>
  </si>
  <si>
    <t>Select the Power Setting, Micro or Low, using the drop down arrow</t>
  </si>
  <si>
    <t>Select the Trip Levels, Standard or Low Voltage, using the drop down arrow</t>
  </si>
  <si>
    <t>Enter the supply voltage, 1.2V to 5.5V (for power calculation)</t>
  </si>
  <si>
    <t>CSS555 Timer Calculator (50% Duty Cycle Clock)</t>
  </si>
  <si>
    <t>G</t>
  </si>
  <si>
    <t>B</t>
  </si>
  <si>
    <t>W</t>
  </si>
  <si>
    <t>White boxes are values that can not be changed.</t>
  </si>
  <si>
    <t>Select the units for timing resistors RA (Meg or K ohms)</t>
  </si>
  <si>
    <t>To reduce timing errors due to leakage current, keep the value of RA less than 10Meg ohms</t>
  </si>
  <si>
    <t>Multiplier value = 1 (The internal counter must be disabled for this circuit.)</t>
  </si>
  <si>
    <t>Enter the values for RA.  They are typically above 10K for good timing accuracy and as high as possible to reduce power.</t>
  </si>
  <si>
    <t>Operating mode = Astable (Actually it's "Don't Care…  Multiplier = 1, so the counter is disabled)</t>
  </si>
  <si>
    <t>Propagation delay added for each comparator transition.  (1.3usec at Micro power, 300ns at Low power)</t>
  </si>
  <si>
    <t>Impedance of Discharge driver added to RB during discharge.  Driver impedance = 50 / VDD^0.8</t>
  </si>
  <si>
    <t>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</si>
</sst>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;;"/>
    <numFmt numFmtId="175" formatCode="0.00000000"/>
    <numFmt numFmtId="176" formatCode="0.E+00"/>
    <numFmt numFmtId="177" formatCode="0.0E+00"/>
    <numFmt numFmtId="178" formatCode="0.000E+00"/>
    <numFmt numFmtId="179" formatCode="0.0000E+00"/>
    <numFmt numFmtId="180" formatCode="#,##0.0_);\(#,##0.0\)"/>
  </numFmts>
  <fonts count="1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20"/>
      <color indexed="62"/>
      <name val="Arial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64" fontId="9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right"/>
      <protection hidden="1"/>
    </xf>
    <xf numFmtId="1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178" fontId="0" fillId="0" borderId="0" xfId="0" applyNumberFormat="1" applyFont="1" applyFill="1" applyAlignment="1" applyProtection="1">
      <alignment horizontal="center"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177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8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78" fontId="0" fillId="0" borderId="0" xfId="0" applyNumberFormat="1" applyFont="1" applyAlignment="1" applyProtection="1">
      <alignment horizontal="center"/>
      <protection hidden="1"/>
    </xf>
    <xf numFmtId="180" fontId="0" fillId="0" borderId="0" xfId="15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 hidden="1"/>
    </xf>
    <xf numFmtId="164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hidden="1"/>
    </xf>
    <xf numFmtId="11" fontId="0" fillId="0" borderId="1" xfId="0" applyNumberFormat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6.emf" /><Relationship Id="rId3" Type="http://schemas.openxmlformats.org/officeDocument/2006/relationships/image" Target="../media/image18.emf" /><Relationship Id="rId4" Type="http://schemas.openxmlformats.org/officeDocument/2006/relationships/image" Target="../media/image17.emf" /><Relationship Id="rId5" Type="http://schemas.openxmlformats.org/officeDocument/2006/relationships/image" Target="../media/image9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7</xdr:row>
      <xdr:rowOff>66675</xdr:rowOff>
    </xdr:from>
    <xdr:to>
      <xdr:col>8</xdr:col>
      <xdr:colOff>66675</xdr:colOff>
      <xdr:row>13</xdr:row>
      <xdr:rowOff>114300</xdr:rowOff>
    </xdr:to>
    <xdr:sp>
      <xdr:nvSpPr>
        <xdr:cNvPr id="1" name="AutoShape 98"/>
        <xdr:cNvSpPr>
          <a:spLocks/>
        </xdr:cNvSpPr>
      </xdr:nvSpPr>
      <xdr:spPr>
        <a:xfrm>
          <a:off x="5734050" y="1762125"/>
          <a:ext cx="933450" cy="1381125"/>
        </a:xfrm>
        <a:prstGeom prst="rect">
          <a:avLst/>
        </a:prstGeom>
        <a:solidFill>
          <a:srgbClr val="C0C0C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171450</xdr:colOff>
      <xdr:row>6</xdr:row>
      <xdr:rowOff>9525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3825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9525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5717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9525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0289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171450</xdr:colOff>
      <xdr:row>15</xdr:row>
      <xdr:rowOff>0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3257550"/>
          <a:ext cx="117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171450</xdr:colOff>
      <xdr:row>18</xdr:row>
      <xdr:rowOff>9525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392430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9525</xdr:rowOff>
    </xdr:to>
    <xdr:pic>
      <xdr:nvPicPr>
        <xdr:cNvPr id="7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8003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6</xdr:row>
      <xdr:rowOff>114300</xdr:rowOff>
    </xdr:from>
    <xdr:to>
      <xdr:col>8</xdr:col>
      <xdr:colOff>476250</xdr:colOff>
      <xdr:row>7</xdr:row>
      <xdr:rowOff>38100</xdr:rowOff>
    </xdr:to>
    <xdr:sp>
      <xdr:nvSpPr>
        <xdr:cNvPr id="8" name="AutoShape 67"/>
        <xdr:cNvSpPr>
          <a:spLocks/>
        </xdr:cNvSpPr>
      </xdr:nvSpPr>
      <xdr:spPr>
        <a:xfrm>
          <a:off x="6915150" y="1581150"/>
          <a:ext cx="161925" cy="1524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38100</xdr:rowOff>
    </xdr:from>
    <xdr:to>
      <xdr:col>8</xdr:col>
      <xdr:colOff>400050</xdr:colOff>
      <xdr:row>7</xdr:row>
      <xdr:rowOff>152400</xdr:rowOff>
    </xdr:to>
    <xdr:sp>
      <xdr:nvSpPr>
        <xdr:cNvPr id="9" name="AutoShape 68"/>
        <xdr:cNvSpPr>
          <a:spLocks/>
        </xdr:cNvSpPr>
      </xdr:nvSpPr>
      <xdr:spPr>
        <a:xfrm>
          <a:off x="7000875" y="1733550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104775</xdr:rowOff>
    </xdr:from>
    <xdr:to>
      <xdr:col>8</xdr:col>
      <xdr:colOff>400050</xdr:colOff>
      <xdr:row>8</xdr:row>
      <xdr:rowOff>161925</xdr:rowOff>
    </xdr:to>
    <xdr:sp>
      <xdr:nvSpPr>
        <xdr:cNvPr id="10" name="AutoShape 70"/>
        <xdr:cNvSpPr>
          <a:spLocks/>
        </xdr:cNvSpPr>
      </xdr:nvSpPr>
      <xdr:spPr>
        <a:xfrm flipH="1">
          <a:off x="7000875" y="18002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8</xdr:row>
      <xdr:rowOff>161925</xdr:rowOff>
    </xdr:from>
    <xdr:to>
      <xdr:col>9</xdr:col>
      <xdr:colOff>419100</xdr:colOff>
      <xdr:row>11</xdr:row>
      <xdr:rowOff>47625</xdr:rowOff>
    </xdr:to>
    <xdr:sp>
      <xdr:nvSpPr>
        <xdr:cNvPr id="11" name="AutoShape 71"/>
        <xdr:cNvSpPr>
          <a:spLocks/>
        </xdr:cNvSpPr>
      </xdr:nvSpPr>
      <xdr:spPr>
        <a:xfrm>
          <a:off x="7600950" y="2085975"/>
          <a:ext cx="228600" cy="533400"/>
        </a:xfrm>
        <a:custGeom>
          <a:pathLst>
            <a:path h="330" w="205">
              <a:moveTo>
                <a:pt x="0" y="0"/>
              </a:moveTo>
              <a:lnTo>
                <a:pt x="205" y="0"/>
              </a:lnTo>
              <a:lnTo>
                <a:pt x="205" y="330"/>
              </a:lnTo>
              <a:lnTo>
                <a:pt x="15" y="33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10</xdr:row>
      <xdr:rowOff>0</xdr:rowOff>
    </xdr:from>
    <xdr:to>
      <xdr:col>6</xdr:col>
      <xdr:colOff>762000</xdr:colOff>
      <xdr:row>10</xdr:row>
      <xdr:rowOff>0</xdr:rowOff>
    </xdr:to>
    <xdr:sp>
      <xdr:nvSpPr>
        <xdr:cNvPr id="12" name="AutoShape 73"/>
        <xdr:cNvSpPr>
          <a:spLocks/>
        </xdr:cNvSpPr>
      </xdr:nvSpPr>
      <xdr:spPr>
        <a:xfrm>
          <a:off x="5276850" y="2343150"/>
          <a:ext cx="457200" cy="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9</xdr:row>
      <xdr:rowOff>95250</xdr:rowOff>
    </xdr:from>
    <xdr:to>
      <xdr:col>6</xdr:col>
      <xdr:colOff>247650</xdr:colOff>
      <xdr:row>9</xdr:row>
      <xdr:rowOff>95250</xdr:rowOff>
    </xdr:to>
    <xdr:sp>
      <xdr:nvSpPr>
        <xdr:cNvPr id="13" name="AutoShape 74"/>
        <xdr:cNvSpPr>
          <a:spLocks/>
        </xdr:cNvSpPr>
      </xdr:nvSpPr>
      <xdr:spPr>
        <a:xfrm>
          <a:off x="4857750" y="224790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47625</xdr:rowOff>
    </xdr:from>
    <xdr:to>
      <xdr:col>6</xdr:col>
      <xdr:colOff>762000</xdr:colOff>
      <xdr:row>11</xdr:row>
      <xdr:rowOff>47625</xdr:rowOff>
    </xdr:to>
    <xdr:sp>
      <xdr:nvSpPr>
        <xdr:cNvPr id="14" name="AutoShape 77"/>
        <xdr:cNvSpPr>
          <a:spLocks/>
        </xdr:cNvSpPr>
      </xdr:nvSpPr>
      <xdr:spPr>
        <a:xfrm>
          <a:off x="5286375" y="2619375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0</xdr:rowOff>
    </xdr:from>
    <xdr:to>
      <xdr:col>6</xdr:col>
      <xdr:colOff>219075</xdr:colOff>
      <xdr:row>12</xdr:row>
      <xdr:rowOff>0</xdr:rowOff>
    </xdr:to>
    <xdr:sp>
      <xdr:nvSpPr>
        <xdr:cNvPr id="15" name="AutoShape 78"/>
        <xdr:cNvSpPr>
          <a:spLocks/>
        </xdr:cNvSpPr>
      </xdr:nvSpPr>
      <xdr:spPr>
        <a:xfrm>
          <a:off x="4905375" y="28003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12</xdr:row>
      <xdr:rowOff>57150</xdr:rowOff>
    </xdr:from>
    <xdr:to>
      <xdr:col>6</xdr:col>
      <xdr:colOff>752475</xdr:colOff>
      <xdr:row>12</xdr:row>
      <xdr:rowOff>57150</xdr:rowOff>
    </xdr:to>
    <xdr:sp>
      <xdr:nvSpPr>
        <xdr:cNvPr id="16" name="AutoShape 80"/>
        <xdr:cNvSpPr>
          <a:spLocks/>
        </xdr:cNvSpPr>
      </xdr:nvSpPr>
      <xdr:spPr>
        <a:xfrm>
          <a:off x="5276850" y="2857500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47625</xdr:rowOff>
    </xdr:from>
    <xdr:to>
      <xdr:col>6</xdr:col>
      <xdr:colOff>590550</xdr:colOff>
      <xdr:row>9</xdr:row>
      <xdr:rowOff>47625</xdr:rowOff>
    </xdr:to>
    <xdr:sp>
      <xdr:nvSpPr>
        <xdr:cNvPr id="17" name="AutoShape 82"/>
        <xdr:cNvSpPr>
          <a:spLocks/>
        </xdr:cNvSpPr>
      </xdr:nvSpPr>
      <xdr:spPr>
        <a:xfrm rot="16200000">
          <a:off x="5419725" y="22002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9</xdr:row>
      <xdr:rowOff>19050</xdr:rowOff>
    </xdr:from>
    <xdr:to>
      <xdr:col>6</xdr:col>
      <xdr:colOff>628650</xdr:colOff>
      <xdr:row>9</xdr:row>
      <xdr:rowOff>19050</xdr:rowOff>
    </xdr:to>
    <xdr:sp>
      <xdr:nvSpPr>
        <xdr:cNvPr id="18" name="AutoShape 83"/>
        <xdr:cNvSpPr>
          <a:spLocks/>
        </xdr:cNvSpPr>
      </xdr:nvSpPr>
      <xdr:spPr>
        <a:xfrm rot="16200000">
          <a:off x="5391150" y="217170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8</xdr:row>
      <xdr:rowOff>161925</xdr:rowOff>
    </xdr:from>
    <xdr:to>
      <xdr:col>6</xdr:col>
      <xdr:colOff>523875</xdr:colOff>
      <xdr:row>9</xdr:row>
      <xdr:rowOff>19050</xdr:rowOff>
    </xdr:to>
    <xdr:sp>
      <xdr:nvSpPr>
        <xdr:cNvPr id="19" name="AutoShape 84"/>
        <xdr:cNvSpPr>
          <a:spLocks/>
        </xdr:cNvSpPr>
      </xdr:nvSpPr>
      <xdr:spPr>
        <a:xfrm rot="16200000" flipV="1">
          <a:off x="5495925" y="2085975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9</xdr:row>
      <xdr:rowOff>95250</xdr:rowOff>
    </xdr:from>
    <xdr:to>
      <xdr:col>6</xdr:col>
      <xdr:colOff>561975</xdr:colOff>
      <xdr:row>9</xdr:row>
      <xdr:rowOff>95250</xdr:rowOff>
    </xdr:to>
    <xdr:sp>
      <xdr:nvSpPr>
        <xdr:cNvPr id="20" name="AutoShape 85"/>
        <xdr:cNvSpPr>
          <a:spLocks/>
        </xdr:cNvSpPr>
      </xdr:nvSpPr>
      <xdr:spPr>
        <a:xfrm rot="5400000">
          <a:off x="5467350" y="2247900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13</xdr:row>
      <xdr:rowOff>142875</xdr:rowOff>
    </xdr:from>
    <xdr:to>
      <xdr:col>8</xdr:col>
      <xdr:colOff>495300</xdr:colOff>
      <xdr:row>13</xdr:row>
      <xdr:rowOff>142875</xdr:rowOff>
    </xdr:to>
    <xdr:sp>
      <xdr:nvSpPr>
        <xdr:cNvPr id="21" name="AutoShape 87"/>
        <xdr:cNvSpPr>
          <a:spLocks/>
        </xdr:cNvSpPr>
      </xdr:nvSpPr>
      <xdr:spPr>
        <a:xfrm rot="16200000">
          <a:off x="6886575" y="31718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13</xdr:row>
      <xdr:rowOff>57150</xdr:rowOff>
    </xdr:from>
    <xdr:to>
      <xdr:col>8</xdr:col>
      <xdr:colOff>495300</xdr:colOff>
      <xdr:row>13</xdr:row>
      <xdr:rowOff>57150</xdr:rowOff>
    </xdr:to>
    <xdr:sp>
      <xdr:nvSpPr>
        <xdr:cNvPr id="22" name="AutoShape 88"/>
        <xdr:cNvSpPr>
          <a:spLocks/>
        </xdr:cNvSpPr>
      </xdr:nvSpPr>
      <xdr:spPr>
        <a:xfrm rot="16200000">
          <a:off x="6886575" y="308610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12</xdr:row>
      <xdr:rowOff>200025</xdr:rowOff>
    </xdr:from>
    <xdr:to>
      <xdr:col>8</xdr:col>
      <xdr:colOff>390525</xdr:colOff>
      <xdr:row>13</xdr:row>
      <xdr:rowOff>57150</xdr:rowOff>
    </xdr:to>
    <xdr:sp>
      <xdr:nvSpPr>
        <xdr:cNvPr id="23" name="AutoShape 89"/>
        <xdr:cNvSpPr>
          <a:spLocks/>
        </xdr:cNvSpPr>
      </xdr:nvSpPr>
      <xdr:spPr>
        <a:xfrm rot="16200000" flipV="1">
          <a:off x="6991350" y="3000375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13</xdr:row>
      <xdr:rowOff>152400</xdr:rowOff>
    </xdr:from>
    <xdr:to>
      <xdr:col>8</xdr:col>
      <xdr:colOff>390525</xdr:colOff>
      <xdr:row>14</xdr:row>
      <xdr:rowOff>9525</xdr:rowOff>
    </xdr:to>
    <xdr:sp>
      <xdr:nvSpPr>
        <xdr:cNvPr id="24" name="AutoShape 90"/>
        <xdr:cNvSpPr>
          <a:spLocks/>
        </xdr:cNvSpPr>
      </xdr:nvSpPr>
      <xdr:spPr>
        <a:xfrm rot="5400000" flipH="1" flipV="1">
          <a:off x="6991350" y="318135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</xdr:row>
      <xdr:rowOff>133350</xdr:rowOff>
    </xdr:from>
    <xdr:to>
      <xdr:col>8</xdr:col>
      <xdr:colOff>447675</xdr:colOff>
      <xdr:row>14</xdr:row>
      <xdr:rowOff>133350</xdr:rowOff>
    </xdr:to>
    <xdr:sp>
      <xdr:nvSpPr>
        <xdr:cNvPr id="25" name="AutoShape 92"/>
        <xdr:cNvSpPr>
          <a:spLocks/>
        </xdr:cNvSpPr>
      </xdr:nvSpPr>
      <xdr:spPr>
        <a:xfrm rot="16200000">
          <a:off x="6915150" y="33909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95250</xdr:rowOff>
    </xdr:from>
    <xdr:to>
      <xdr:col>8</xdr:col>
      <xdr:colOff>485775</xdr:colOff>
      <xdr:row>14</xdr:row>
      <xdr:rowOff>95250</xdr:rowOff>
    </xdr:to>
    <xdr:sp>
      <xdr:nvSpPr>
        <xdr:cNvPr id="26" name="AutoShape 93"/>
        <xdr:cNvSpPr>
          <a:spLocks/>
        </xdr:cNvSpPr>
      </xdr:nvSpPr>
      <xdr:spPr>
        <a:xfrm rot="16200000">
          <a:off x="6886575" y="33528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0</xdr:rowOff>
    </xdr:from>
    <xdr:to>
      <xdr:col>8</xdr:col>
      <xdr:colOff>390525</xdr:colOff>
      <xdr:row>14</xdr:row>
      <xdr:rowOff>85725</xdr:rowOff>
    </xdr:to>
    <xdr:sp>
      <xdr:nvSpPr>
        <xdr:cNvPr id="27" name="AutoShape 94"/>
        <xdr:cNvSpPr>
          <a:spLocks/>
        </xdr:cNvSpPr>
      </xdr:nvSpPr>
      <xdr:spPr>
        <a:xfrm rot="16200000" flipV="1">
          <a:off x="6991350" y="325755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14</xdr:row>
      <xdr:rowOff>180975</xdr:rowOff>
    </xdr:from>
    <xdr:to>
      <xdr:col>8</xdr:col>
      <xdr:colOff>419100</xdr:colOff>
      <xdr:row>14</xdr:row>
      <xdr:rowOff>180975</xdr:rowOff>
    </xdr:to>
    <xdr:sp>
      <xdr:nvSpPr>
        <xdr:cNvPr id="28" name="AutoShape 95"/>
        <xdr:cNvSpPr>
          <a:spLocks/>
        </xdr:cNvSpPr>
      </xdr:nvSpPr>
      <xdr:spPr>
        <a:xfrm rot="5400000">
          <a:off x="6953250" y="3438525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11</xdr:row>
      <xdr:rowOff>47625</xdr:rowOff>
    </xdr:from>
    <xdr:to>
      <xdr:col>8</xdr:col>
      <xdr:colOff>390525</xdr:colOff>
      <xdr:row>13</xdr:row>
      <xdr:rowOff>28575</xdr:rowOff>
    </xdr:to>
    <xdr:sp>
      <xdr:nvSpPr>
        <xdr:cNvPr id="29" name="AutoShape 97"/>
        <xdr:cNvSpPr>
          <a:spLocks/>
        </xdr:cNvSpPr>
      </xdr:nvSpPr>
      <xdr:spPr>
        <a:xfrm flipH="1">
          <a:off x="6991350" y="261937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8</xdr:row>
      <xdr:rowOff>161925</xdr:rowOff>
    </xdr:from>
    <xdr:to>
      <xdr:col>6</xdr:col>
      <xdr:colOff>762000</xdr:colOff>
      <xdr:row>8</xdr:row>
      <xdr:rowOff>161925</xdr:rowOff>
    </xdr:to>
    <xdr:sp>
      <xdr:nvSpPr>
        <xdr:cNvPr id="30" name="AutoShape 102"/>
        <xdr:cNvSpPr>
          <a:spLocks/>
        </xdr:cNvSpPr>
      </xdr:nvSpPr>
      <xdr:spPr>
        <a:xfrm>
          <a:off x="5486400" y="2085975"/>
          <a:ext cx="24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0</xdr:rowOff>
    </xdr:from>
    <xdr:to>
      <xdr:col>9</xdr:col>
      <xdr:colOff>419100</xdr:colOff>
      <xdr:row>10</xdr:row>
      <xdr:rowOff>0</xdr:rowOff>
    </xdr:to>
    <xdr:sp>
      <xdr:nvSpPr>
        <xdr:cNvPr id="31" name="AutoShape 103"/>
        <xdr:cNvSpPr>
          <a:spLocks/>
        </xdr:cNvSpPr>
      </xdr:nvSpPr>
      <xdr:spPr>
        <a:xfrm>
          <a:off x="6667500" y="2343150"/>
          <a:ext cx="1162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47625</xdr:rowOff>
    </xdr:from>
    <xdr:to>
      <xdr:col>8</xdr:col>
      <xdr:colOff>561975</xdr:colOff>
      <xdr:row>11</xdr:row>
      <xdr:rowOff>47625</xdr:rowOff>
    </xdr:to>
    <xdr:sp>
      <xdr:nvSpPr>
        <xdr:cNvPr id="32" name="AutoShape 104"/>
        <xdr:cNvSpPr>
          <a:spLocks/>
        </xdr:cNvSpPr>
      </xdr:nvSpPr>
      <xdr:spPr>
        <a:xfrm>
          <a:off x="6667500" y="261937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57150</xdr:rowOff>
    </xdr:from>
    <xdr:to>
      <xdr:col>8</xdr:col>
      <xdr:colOff>247650</xdr:colOff>
      <xdr:row>12</xdr:row>
      <xdr:rowOff>57150</xdr:rowOff>
    </xdr:to>
    <xdr:sp>
      <xdr:nvSpPr>
        <xdr:cNvPr id="33" name="AutoShape 105"/>
        <xdr:cNvSpPr>
          <a:spLocks/>
        </xdr:cNvSpPr>
      </xdr:nvSpPr>
      <xdr:spPr>
        <a:xfrm>
          <a:off x="6667500" y="28575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161925</xdr:rowOff>
    </xdr:from>
    <xdr:to>
      <xdr:col>8</xdr:col>
      <xdr:colOff>561975</xdr:colOff>
      <xdr:row>8</xdr:row>
      <xdr:rowOff>161925</xdr:rowOff>
    </xdr:to>
    <xdr:sp>
      <xdr:nvSpPr>
        <xdr:cNvPr id="34" name="AutoShape 106"/>
        <xdr:cNvSpPr>
          <a:spLocks/>
        </xdr:cNvSpPr>
      </xdr:nvSpPr>
      <xdr:spPr>
        <a:xfrm>
          <a:off x="6667500" y="208597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8</xdr:row>
      <xdr:rowOff>85725</xdr:rowOff>
    </xdr:from>
    <xdr:to>
      <xdr:col>9</xdr:col>
      <xdr:colOff>228600</xdr:colOff>
      <xdr:row>9</xdr:row>
      <xdr:rowOff>9525</xdr:rowOff>
    </xdr:to>
    <xdr:sp>
      <xdr:nvSpPr>
        <xdr:cNvPr id="35" name="AutoShape 108"/>
        <xdr:cNvSpPr>
          <a:spLocks/>
        </xdr:cNvSpPr>
      </xdr:nvSpPr>
      <xdr:spPr>
        <a:xfrm>
          <a:off x="7143750" y="2009775"/>
          <a:ext cx="495300" cy="152400"/>
        </a:xfrm>
        <a:custGeom>
          <a:pathLst>
            <a:path h="120" w="455">
              <a:moveTo>
                <a:pt x="0" y="56"/>
              </a:moveTo>
              <a:lnTo>
                <a:pt x="72" y="56"/>
              </a:lnTo>
              <a:lnTo>
                <a:pt x="105" y="0"/>
              </a:lnTo>
              <a:lnTo>
                <a:pt x="152" y="117"/>
              </a:lnTo>
              <a:lnTo>
                <a:pt x="200" y="0"/>
              </a:lnTo>
              <a:lnTo>
                <a:pt x="254" y="120"/>
              </a:lnTo>
              <a:lnTo>
                <a:pt x="302" y="0"/>
              </a:lnTo>
              <a:lnTo>
                <a:pt x="353" y="117"/>
              </a:lnTo>
              <a:lnTo>
                <a:pt x="383" y="57"/>
              </a:lnTo>
              <a:lnTo>
                <a:pt x="455" y="57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200025</xdr:rowOff>
    </xdr:from>
    <xdr:to>
      <xdr:col>9</xdr:col>
      <xdr:colOff>219075</xdr:colOff>
      <xdr:row>11</xdr:row>
      <xdr:rowOff>114300</xdr:rowOff>
    </xdr:to>
    <xdr:sp>
      <xdr:nvSpPr>
        <xdr:cNvPr id="36" name="AutoShape 109"/>
        <xdr:cNvSpPr>
          <a:spLocks/>
        </xdr:cNvSpPr>
      </xdr:nvSpPr>
      <xdr:spPr>
        <a:xfrm>
          <a:off x="7134225" y="2543175"/>
          <a:ext cx="495300" cy="142875"/>
        </a:xfrm>
        <a:custGeom>
          <a:pathLst>
            <a:path h="120" w="455">
              <a:moveTo>
                <a:pt x="0" y="56"/>
              </a:moveTo>
              <a:lnTo>
                <a:pt x="72" y="56"/>
              </a:lnTo>
              <a:lnTo>
                <a:pt x="105" y="0"/>
              </a:lnTo>
              <a:lnTo>
                <a:pt x="152" y="117"/>
              </a:lnTo>
              <a:lnTo>
                <a:pt x="200" y="0"/>
              </a:lnTo>
              <a:lnTo>
                <a:pt x="254" y="120"/>
              </a:lnTo>
              <a:lnTo>
                <a:pt x="302" y="0"/>
              </a:lnTo>
              <a:lnTo>
                <a:pt x="353" y="117"/>
              </a:lnTo>
              <a:lnTo>
                <a:pt x="383" y="57"/>
              </a:lnTo>
              <a:lnTo>
                <a:pt x="455" y="57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</xdr:row>
      <xdr:rowOff>219075</xdr:rowOff>
    </xdr:from>
    <xdr:to>
      <xdr:col>3</xdr:col>
      <xdr:colOff>171450</xdr:colOff>
      <xdr:row>7</xdr:row>
      <xdr:rowOff>9525</xdr:rowOff>
    </xdr:to>
    <xdr:pic>
      <xdr:nvPicPr>
        <xdr:cNvPr id="3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145732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219075</xdr:rowOff>
    </xdr:from>
    <xdr:to>
      <xdr:col>3</xdr:col>
      <xdr:colOff>171450</xdr:colOff>
      <xdr:row>8</xdr:row>
      <xdr:rowOff>9525</xdr:rowOff>
    </xdr:to>
    <xdr:pic>
      <xdr:nvPicPr>
        <xdr:cNvPr id="3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168592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7</xdr:row>
      <xdr:rowOff>200025</xdr:rowOff>
    </xdr:from>
    <xdr:to>
      <xdr:col>8</xdr:col>
      <xdr:colOff>66675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34050" y="1914525"/>
          <a:ext cx="933450" cy="1400175"/>
        </a:xfrm>
        <a:prstGeom prst="rect">
          <a:avLst/>
        </a:prstGeom>
        <a:solidFill>
          <a:srgbClr val="C0C0C0">
            <a:alpha val="5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6098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9525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0670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171450</xdr:colOff>
      <xdr:row>18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96240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7</xdr:row>
      <xdr:rowOff>0</xdr:rowOff>
    </xdr:from>
    <xdr:to>
      <xdr:col>9</xdr:col>
      <xdr:colOff>76200</xdr:colOff>
      <xdr:row>7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7324725" y="1714500"/>
          <a:ext cx="161925" cy="1524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152400</xdr:rowOff>
    </xdr:from>
    <xdr:to>
      <xdr:col>6</xdr:col>
      <xdr:colOff>762000</xdr:colOff>
      <xdr:row>11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5286375" y="2762250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114300</xdr:rowOff>
    </xdr:from>
    <xdr:to>
      <xdr:col>6</xdr:col>
      <xdr:colOff>219075</xdr:colOff>
      <xdr:row>12</xdr:row>
      <xdr:rowOff>114300</xdr:rowOff>
    </xdr:to>
    <xdr:sp>
      <xdr:nvSpPr>
        <xdr:cNvPr id="7" name="AutoShape 20"/>
        <xdr:cNvSpPr>
          <a:spLocks/>
        </xdr:cNvSpPr>
      </xdr:nvSpPr>
      <xdr:spPr>
        <a:xfrm>
          <a:off x="4905375" y="29527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12</xdr:row>
      <xdr:rowOff>171450</xdr:rowOff>
    </xdr:from>
    <xdr:to>
      <xdr:col>6</xdr:col>
      <xdr:colOff>752475</xdr:colOff>
      <xdr:row>12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5276850" y="3009900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180975</xdr:rowOff>
    </xdr:from>
    <xdr:to>
      <xdr:col>6</xdr:col>
      <xdr:colOff>247650</xdr:colOff>
      <xdr:row>9</xdr:row>
      <xdr:rowOff>180975</xdr:rowOff>
    </xdr:to>
    <xdr:sp>
      <xdr:nvSpPr>
        <xdr:cNvPr id="9" name="AutoShape 23"/>
        <xdr:cNvSpPr>
          <a:spLocks/>
        </xdr:cNvSpPr>
      </xdr:nvSpPr>
      <xdr:spPr>
        <a:xfrm rot="16200000">
          <a:off x="5076825" y="23526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142875</xdr:rowOff>
    </xdr:from>
    <xdr:to>
      <xdr:col>6</xdr:col>
      <xdr:colOff>285750</xdr:colOff>
      <xdr:row>9</xdr:row>
      <xdr:rowOff>142875</xdr:rowOff>
    </xdr:to>
    <xdr:sp>
      <xdr:nvSpPr>
        <xdr:cNvPr id="10" name="AutoShape 24"/>
        <xdr:cNvSpPr>
          <a:spLocks/>
        </xdr:cNvSpPr>
      </xdr:nvSpPr>
      <xdr:spPr>
        <a:xfrm rot="16200000">
          <a:off x="5048250" y="231457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</xdr:row>
      <xdr:rowOff>38100</xdr:rowOff>
    </xdr:from>
    <xdr:to>
      <xdr:col>6</xdr:col>
      <xdr:colOff>219075</xdr:colOff>
      <xdr:row>10</xdr:row>
      <xdr:rowOff>38100</xdr:rowOff>
    </xdr:to>
    <xdr:sp>
      <xdr:nvSpPr>
        <xdr:cNvPr id="11" name="AutoShape 26"/>
        <xdr:cNvSpPr>
          <a:spLocks/>
        </xdr:cNvSpPr>
      </xdr:nvSpPr>
      <xdr:spPr>
        <a:xfrm rot="5400000">
          <a:off x="5124450" y="2400300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14</xdr:row>
      <xdr:rowOff>47625</xdr:rowOff>
    </xdr:from>
    <xdr:to>
      <xdr:col>9</xdr:col>
      <xdr:colOff>104775</xdr:colOff>
      <xdr:row>14</xdr:row>
      <xdr:rowOff>47625</xdr:rowOff>
    </xdr:to>
    <xdr:sp>
      <xdr:nvSpPr>
        <xdr:cNvPr id="12" name="AutoShape 27"/>
        <xdr:cNvSpPr>
          <a:spLocks/>
        </xdr:cNvSpPr>
      </xdr:nvSpPr>
      <xdr:spPr>
        <a:xfrm rot="16200000">
          <a:off x="7305675" y="334327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13</xdr:row>
      <xdr:rowOff>180975</xdr:rowOff>
    </xdr:from>
    <xdr:to>
      <xdr:col>9</xdr:col>
      <xdr:colOff>104775</xdr:colOff>
      <xdr:row>13</xdr:row>
      <xdr:rowOff>180975</xdr:rowOff>
    </xdr:to>
    <xdr:sp>
      <xdr:nvSpPr>
        <xdr:cNvPr id="13" name="AutoShape 28"/>
        <xdr:cNvSpPr>
          <a:spLocks/>
        </xdr:cNvSpPr>
      </xdr:nvSpPr>
      <xdr:spPr>
        <a:xfrm rot="16200000">
          <a:off x="7305675" y="32480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0</xdr:colOff>
      <xdr:row>13</xdr:row>
      <xdr:rowOff>171450</xdr:rowOff>
    </xdr:to>
    <xdr:sp>
      <xdr:nvSpPr>
        <xdr:cNvPr id="14" name="AutoShape 29"/>
        <xdr:cNvSpPr>
          <a:spLocks/>
        </xdr:cNvSpPr>
      </xdr:nvSpPr>
      <xdr:spPr>
        <a:xfrm rot="16200000" flipV="1">
          <a:off x="7410450" y="3152775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57150</xdr:rowOff>
    </xdr:from>
    <xdr:to>
      <xdr:col>9</xdr:col>
      <xdr:colOff>0</xdr:colOff>
      <xdr:row>14</xdr:row>
      <xdr:rowOff>142875</xdr:rowOff>
    </xdr:to>
    <xdr:sp>
      <xdr:nvSpPr>
        <xdr:cNvPr id="15" name="AutoShape 30"/>
        <xdr:cNvSpPr>
          <a:spLocks/>
        </xdr:cNvSpPr>
      </xdr:nvSpPr>
      <xdr:spPr>
        <a:xfrm rot="5400000" flipH="1" flipV="1">
          <a:off x="7410450" y="335280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15</xdr:row>
      <xdr:rowOff>38100</xdr:rowOff>
    </xdr:from>
    <xdr:to>
      <xdr:col>9</xdr:col>
      <xdr:colOff>57150</xdr:colOff>
      <xdr:row>15</xdr:row>
      <xdr:rowOff>38100</xdr:rowOff>
    </xdr:to>
    <xdr:sp>
      <xdr:nvSpPr>
        <xdr:cNvPr id="16" name="AutoShape 31"/>
        <xdr:cNvSpPr>
          <a:spLocks/>
        </xdr:cNvSpPr>
      </xdr:nvSpPr>
      <xdr:spPr>
        <a:xfrm rot="16200000">
          <a:off x="7334250" y="356235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15</xdr:row>
      <xdr:rowOff>0</xdr:rowOff>
    </xdr:from>
    <xdr:to>
      <xdr:col>9</xdr:col>
      <xdr:colOff>95250</xdr:colOff>
      <xdr:row>15</xdr:row>
      <xdr:rowOff>0</xdr:rowOff>
    </xdr:to>
    <xdr:sp>
      <xdr:nvSpPr>
        <xdr:cNvPr id="17" name="AutoShape 32"/>
        <xdr:cNvSpPr>
          <a:spLocks/>
        </xdr:cNvSpPr>
      </xdr:nvSpPr>
      <xdr:spPr>
        <a:xfrm rot="16200000">
          <a:off x="7305675" y="352425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133350</xdr:rowOff>
    </xdr:from>
    <xdr:to>
      <xdr:col>9</xdr:col>
      <xdr:colOff>0</xdr:colOff>
      <xdr:row>14</xdr:row>
      <xdr:rowOff>219075</xdr:rowOff>
    </xdr:to>
    <xdr:sp>
      <xdr:nvSpPr>
        <xdr:cNvPr id="18" name="AutoShape 33"/>
        <xdr:cNvSpPr>
          <a:spLocks/>
        </xdr:cNvSpPr>
      </xdr:nvSpPr>
      <xdr:spPr>
        <a:xfrm rot="16200000" flipV="1">
          <a:off x="7410450" y="342900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15</xdr:row>
      <xdr:rowOff>85725</xdr:rowOff>
    </xdr:from>
    <xdr:to>
      <xdr:col>9</xdr:col>
      <xdr:colOff>28575</xdr:colOff>
      <xdr:row>15</xdr:row>
      <xdr:rowOff>85725</xdr:rowOff>
    </xdr:to>
    <xdr:sp>
      <xdr:nvSpPr>
        <xdr:cNvPr id="19" name="AutoShape 34"/>
        <xdr:cNvSpPr>
          <a:spLocks/>
        </xdr:cNvSpPr>
      </xdr:nvSpPr>
      <xdr:spPr>
        <a:xfrm rot="5400000">
          <a:off x="7372350" y="3609975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152400</xdr:rowOff>
    </xdr:from>
    <xdr:to>
      <xdr:col>9</xdr:col>
      <xdr:colOff>0</xdr:colOff>
      <xdr:row>13</xdr:row>
      <xdr:rowOff>180975</xdr:rowOff>
    </xdr:to>
    <xdr:sp>
      <xdr:nvSpPr>
        <xdr:cNvPr id="20" name="AutoShape 36"/>
        <xdr:cNvSpPr>
          <a:spLocks/>
        </xdr:cNvSpPr>
      </xdr:nvSpPr>
      <xdr:spPr>
        <a:xfrm>
          <a:off x="6667500" y="2762250"/>
          <a:ext cx="742950" cy="485775"/>
        </a:xfrm>
        <a:custGeom>
          <a:pathLst>
            <a:path h="53" w="78">
              <a:moveTo>
                <a:pt x="0" y="0"/>
              </a:moveTo>
              <a:lnTo>
                <a:pt x="78" y="0"/>
              </a:lnTo>
              <a:lnTo>
                <a:pt x="78" y="5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66675</xdr:rowOff>
    </xdr:from>
    <xdr:to>
      <xdr:col>6</xdr:col>
      <xdr:colOff>762000</xdr:colOff>
      <xdr:row>9</xdr:row>
      <xdr:rowOff>142875</xdr:rowOff>
    </xdr:to>
    <xdr:sp>
      <xdr:nvSpPr>
        <xdr:cNvPr id="21" name="AutoShape 39"/>
        <xdr:cNvSpPr>
          <a:spLocks/>
        </xdr:cNvSpPr>
      </xdr:nvSpPr>
      <xdr:spPr>
        <a:xfrm>
          <a:off x="5153025" y="2238375"/>
          <a:ext cx="581025" cy="76200"/>
        </a:xfrm>
        <a:custGeom>
          <a:pathLst>
            <a:path h="10" w="61">
              <a:moveTo>
                <a:pt x="0" y="10"/>
              </a:moveTo>
              <a:lnTo>
                <a:pt x="0" y="0"/>
              </a:lnTo>
              <a:lnTo>
                <a:pt x="6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257175</xdr:colOff>
      <xdr:row>10</xdr:row>
      <xdr:rowOff>133350</xdr:rowOff>
    </xdr:to>
    <xdr:sp>
      <xdr:nvSpPr>
        <xdr:cNvPr id="22" name="AutoShape 40"/>
        <xdr:cNvSpPr>
          <a:spLocks/>
        </xdr:cNvSpPr>
      </xdr:nvSpPr>
      <xdr:spPr>
        <a:xfrm>
          <a:off x="6667500" y="249555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171450</xdr:rowOff>
    </xdr:from>
    <xdr:to>
      <xdr:col>8</xdr:col>
      <xdr:colOff>247650</xdr:colOff>
      <xdr:row>12</xdr:row>
      <xdr:rowOff>171450</xdr:rowOff>
    </xdr:to>
    <xdr:sp>
      <xdr:nvSpPr>
        <xdr:cNvPr id="23" name="AutoShape 42"/>
        <xdr:cNvSpPr>
          <a:spLocks/>
        </xdr:cNvSpPr>
      </xdr:nvSpPr>
      <xdr:spPr>
        <a:xfrm>
          <a:off x="6667500" y="30099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142875</xdr:rowOff>
    </xdr:from>
    <xdr:to>
      <xdr:col>9</xdr:col>
      <xdr:colOff>0</xdr:colOff>
      <xdr:row>9</xdr:row>
      <xdr:rowOff>66675</xdr:rowOff>
    </xdr:to>
    <xdr:sp>
      <xdr:nvSpPr>
        <xdr:cNvPr id="24" name="AutoShape 43"/>
        <xdr:cNvSpPr>
          <a:spLocks/>
        </xdr:cNvSpPr>
      </xdr:nvSpPr>
      <xdr:spPr>
        <a:xfrm>
          <a:off x="6667500" y="1857375"/>
          <a:ext cx="742950" cy="381000"/>
        </a:xfrm>
        <a:custGeom>
          <a:pathLst>
            <a:path h="40" w="78">
              <a:moveTo>
                <a:pt x="0" y="40"/>
              </a:moveTo>
              <a:lnTo>
                <a:pt x="78" y="40"/>
              </a:lnTo>
              <a:lnTo>
                <a:pt x="7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190500</xdr:rowOff>
    </xdr:from>
    <xdr:to>
      <xdr:col>7</xdr:col>
      <xdr:colOff>676275</xdr:colOff>
      <xdr:row>15</xdr:row>
      <xdr:rowOff>114300</xdr:rowOff>
    </xdr:to>
    <xdr:sp>
      <xdr:nvSpPr>
        <xdr:cNvPr id="25" name="AutoShape 45"/>
        <xdr:cNvSpPr>
          <a:spLocks/>
        </xdr:cNvSpPr>
      </xdr:nvSpPr>
      <xdr:spPr>
        <a:xfrm>
          <a:off x="5962650" y="3486150"/>
          <a:ext cx="495300" cy="152400"/>
        </a:xfrm>
        <a:custGeom>
          <a:pathLst>
            <a:path h="120" w="455">
              <a:moveTo>
                <a:pt x="0" y="56"/>
              </a:moveTo>
              <a:lnTo>
                <a:pt x="72" y="56"/>
              </a:lnTo>
              <a:lnTo>
                <a:pt x="105" y="0"/>
              </a:lnTo>
              <a:lnTo>
                <a:pt x="152" y="117"/>
              </a:lnTo>
              <a:lnTo>
                <a:pt x="200" y="0"/>
              </a:lnTo>
              <a:lnTo>
                <a:pt x="254" y="120"/>
              </a:lnTo>
              <a:lnTo>
                <a:pt x="302" y="0"/>
              </a:lnTo>
              <a:lnTo>
                <a:pt x="353" y="117"/>
              </a:lnTo>
              <a:lnTo>
                <a:pt x="383" y="57"/>
              </a:lnTo>
              <a:lnTo>
                <a:pt x="455" y="57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152400</xdr:rowOff>
    </xdr:from>
    <xdr:to>
      <xdr:col>8</xdr:col>
      <xdr:colOff>447675</xdr:colOff>
      <xdr:row>15</xdr:row>
      <xdr:rowOff>28575</xdr:rowOff>
    </xdr:to>
    <xdr:sp>
      <xdr:nvSpPr>
        <xdr:cNvPr id="26" name="Polygon 55"/>
        <xdr:cNvSpPr>
          <a:spLocks/>
        </xdr:cNvSpPr>
      </xdr:nvSpPr>
      <xdr:spPr>
        <a:xfrm>
          <a:off x="6429375" y="2762250"/>
          <a:ext cx="619125" cy="790575"/>
        </a:xfrm>
        <a:custGeom>
          <a:pathLst>
            <a:path h="84" w="65">
              <a:moveTo>
                <a:pt x="65" y="0"/>
              </a:moveTo>
              <a:lnTo>
                <a:pt x="65" y="84"/>
              </a:lnTo>
              <a:lnTo>
                <a:pt x="0" y="84"/>
              </a:lnTo>
            </a:path>
          </a:pathLst>
        </a:cu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152400</xdr:rowOff>
    </xdr:from>
    <xdr:to>
      <xdr:col>7</xdr:col>
      <xdr:colOff>228600</xdr:colOff>
      <xdr:row>15</xdr:row>
      <xdr:rowOff>28575</xdr:rowOff>
    </xdr:to>
    <xdr:sp>
      <xdr:nvSpPr>
        <xdr:cNvPr id="27" name="Polygon 56"/>
        <xdr:cNvSpPr>
          <a:spLocks/>
        </xdr:cNvSpPr>
      </xdr:nvSpPr>
      <xdr:spPr>
        <a:xfrm flipH="1">
          <a:off x="5534025" y="2762250"/>
          <a:ext cx="476250" cy="790575"/>
        </a:xfrm>
        <a:custGeom>
          <a:pathLst>
            <a:path h="84" w="65">
              <a:moveTo>
                <a:pt x="65" y="0"/>
              </a:moveTo>
              <a:lnTo>
                <a:pt x="65" y="84"/>
              </a:lnTo>
              <a:lnTo>
                <a:pt x="0" y="84"/>
              </a:lnTo>
            </a:path>
          </a:pathLst>
        </a:cu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6</xdr:row>
      <xdr:rowOff>200025</xdr:rowOff>
    </xdr:from>
    <xdr:to>
      <xdr:col>8</xdr:col>
      <xdr:colOff>447675</xdr:colOff>
      <xdr:row>11</xdr:row>
      <xdr:rowOff>161925</xdr:rowOff>
    </xdr:to>
    <xdr:sp>
      <xdr:nvSpPr>
        <xdr:cNvPr id="28" name="Polygon 57"/>
        <xdr:cNvSpPr>
          <a:spLocks/>
        </xdr:cNvSpPr>
      </xdr:nvSpPr>
      <xdr:spPr>
        <a:xfrm>
          <a:off x="5543550" y="1685925"/>
          <a:ext cx="1504950" cy="1085850"/>
        </a:xfrm>
        <a:custGeom>
          <a:pathLst>
            <a:path h="120" w="158">
              <a:moveTo>
                <a:pt x="21" y="87"/>
              </a:moveTo>
              <a:lnTo>
                <a:pt x="0" y="87"/>
              </a:lnTo>
              <a:lnTo>
                <a:pt x="0" y="0"/>
              </a:lnTo>
              <a:lnTo>
                <a:pt x="158" y="0"/>
              </a:lnTo>
              <a:lnTo>
                <a:pt x="158" y="12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</xdr:row>
      <xdr:rowOff>219075</xdr:rowOff>
    </xdr:from>
    <xdr:to>
      <xdr:col>3</xdr:col>
      <xdr:colOff>171450</xdr:colOff>
      <xdr:row>7</xdr:row>
      <xdr:rowOff>9525</xdr:rowOff>
    </xdr:to>
    <xdr:pic>
      <xdr:nvPicPr>
        <xdr:cNvPr id="29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47637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171450</xdr:colOff>
      <xdr:row>8</xdr:row>
      <xdr:rowOff>19050</xdr:rowOff>
    </xdr:to>
    <xdr:pic>
      <xdr:nvPicPr>
        <xdr:cNvPr id="30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171450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1"/>
  <sheetViews>
    <sheetView showGridLines="0" showRowColHeaders="0" tabSelected="1" workbookViewId="0" topLeftCell="A1">
      <selection activeCell="E6" sqref="E6"/>
    </sheetView>
  </sheetViews>
  <sheetFormatPr defaultColWidth="9.00390625" defaultRowHeight="14.25"/>
  <cols>
    <col min="1" max="1" width="3.125" style="0" customWidth="1"/>
    <col min="2" max="2" width="20.625" style="0" customWidth="1"/>
    <col min="3" max="3" width="13.125" style="0" customWidth="1"/>
    <col min="4" max="4" width="7.125" style="0" customWidth="1"/>
    <col min="5" max="7" width="10.625" style="0" customWidth="1"/>
    <col min="8" max="8" width="10.75390625" style="0" customWidth="1"/>
    <col min="9" max="12" width="10.625" style="0" customWidth="1"/>
  </cols>
  <sheetData>
    <row r="1" spans="3:12" ht="28.5" customHeight="1">
      <c r="C1" s="27" t="s">
        <v>0</v>
      </c>
      <c r="J1" s="53">
        <v>40150</v>
      </c>
      <c r="L1" s="4"/>
    </row>
    <row r="2" spans="1:3" ht="22.5" customHeight="1">
      <c r="A2" s="2"/>
      <c r="C2" s="24" t="s">
        <v>1</v>
      </c>
    </row>
    <row r="3" spans="1:9" ht="14.25" customHeight="1">
      <c r="A3" s="2"/>
      <c r="C3" s="71" t="s">
        <v>89</v>
      </c>
      <c r="H3" s="19" t="s">
        <v>19</v>
      </c>
      <c r="I3" s="20" t="s">
        <v>70</v>
      </c>
    </row>
    <row r="4" spans="8:9" ht="14.25">
      <c r="H4" s="21" t="s">
        <v>20</v>
      </c>
      <c r="I4" s="20" t="s">
        <v>21</v>
      </c>
    </row>
    <row r="5" spans="2:9" ht="18" customHeight="1">
      <c r="B5" s="81" t="s">
        <v>23</v>
      </c>
      <c r="C5" s="81"/>
      <c r="H5" s="55" t="s">
        <v>93</v>
      </c>
      <c r="I5" s="20" t="s">
        <v>94</v>
      </c>
    </row>
    <row r="6" spans="2:12" ht="18" customHeight="1">
      <c r="B6" s="56" t="s">
        <v>12</v>
      </c>
      <c r="C6" s="61" t="s">
        <v>3</v>
      </c>
      <c r="E6" s="3"/>
      <c r="K6" s="13"/>
      <c r="L6" s="13"/>
    </row>
    <row r="7" spans="2:12" ht="18" customHeight="1">
      <c r="B7" s="56" t="s">
        <v>96</v>
      </c>
      <c r="C7" s="61" t="s">
        <v>102</v>
      </c>
      <c r="E7" s="3"/>
      <c r="K7" s="13"/>
      <c r="L7" s="13"/>
    </row>
    <row r="8" spans="2:12" ht="18" customHeight="1">
      <c r="B8" s="56" t="s">
        <v>97</v>
      </c>
      <c r="C8" s="61" t="s">
        <v>104</v>
      </c>
      <c r="E8" s="3"/>
      <c r="K8" s="13"/>
      <c r="L8" s="13"/>
    </row>
    <row r="9" spans="2:6" ht="18" customHeight="1">
      <c r="B9" s="56" t="s">
        <v>11</v>
      </c>
      <c r="C9" s="60">
        <v>5</v>
      </c>
      <c r="D9" s="17" t="s">
        <v>10</v>
      </c>
      <c r="E9" s="72">
        <f>IF(VDD&lt;1.2,"VDD&lt;Vmin!",IF(VDD&gt;6,"Value too High!",IF(VDD&lt;1.8,"(Use Low V Trip Levels)","")))</f>
      </c>
      <c r="F9" s="46"/>
    </row>
    <row r="10" spans="2:5" ht="15" customHeight="1">
      <c r="B10" s="6"/>
      <c r="C10" s="9"/>
      <c r="D10" s="5"/>
      <c r="E10" s="3"/>
    </row>
    <row r="11" spans="2:4" ht="18" customHeight="1">
      <c r="B11" s="81" t="s">
        <v>4</v>
      </c>
      <c r="C11" s="81"/>
      <c r="D11" s="70" t="s">
        <v>6</v>
      </c>
    </row>
    <row r="12" spans="2:6" s="10" customFormat="1" ht="18" customHeight="1">
      <c r="B12" s="56" t="s">
        <v>98</v>
      </c>
      <c r="C12" s="60">
        <v>1</v>
      </c>
      <c r="D12" s="66" t="s">
        <v>5</v>
      </c>
      <c r="E12" s="67"/>
      <c r="F12" s="7"/>
    </row>
    <row r="13" spans="2:6" s="10" customFormat="1" ht="18" customHeight="1">
      <c r="B13" s="56" t="s">
        <v>99</v>
      </c>
      <c r="C13" s="60">
        <v>1</v>
      </c>
      <c r="D13" s="68" t="s">
        <v>5</v>
      </c>
      <c r="E13" s="67"/>
      <c r="F13" s="7"/>
    </row>
    <row r="14" spans="2:7" s="10" customFormat="1" ht="18" customHeight="1">
      <c r="B14" s="56" t="s">
        <v>100</v>
      </c>
      <c r="C14" s="60">
        <v>1</v>
      </c>
      <c r="D14" s="66" t="s">
        <v>18</v>
      </c>
      <c r="E14" s="67"/>
      <c r="F14" s="7"/>
      <c r="G14" s="69"/>
    </row>
    <row r="15" spans="2:7" ht="18" customHeight="1">
      <c r="B15" s="56" t="s">
        <v>13</v>
      </c>
      <c r="C15" s="50" t="s">
        <v>124</v>
      </c>
      <c r="D15" s="65"/>
      <c r="E15" s="16"/>
      <c r="F15" s="7"/>
      <c r="G15" s="12"/>
    </row>
    <row r="16" spans="2:5" ht="15" customHeight="1">
      <c r="B16" s="1"/>
      <c r="C16" s="3"/>
      <c r="E16" s="3"/>
    </row>
    <row r="17" spans="2:5" ht="19.5" customHeight="1">
      <c r="B17" s="81" t="s">
        <v>24</v>
      </c>
      <c r="C17" s="81"/>
      <c r="D17" s="70" t="s">
        <v>6</v>
      </c>
      <c r="E17" s="3"/>
    </row>
    <row r="18" spans="2:5" ht="18" customHeight="1">
      <c r="B18" s="57" t="str">
        <f>IF(H26,"Output Period = ","Delay Time = ")</f>
        <v>Output Period = </v>
      </c>
      <c r="C18" s="62">
        <f>IF(H27,C44,C63)</f>
        <v>3.4700692361330604E-05</v>
      </c>
      <c r="D18" s="63" t="s">
        <v>26</v>
      </c>
      <c r="E18" s="45"/>
    </row>
    <row r="19" spans="2:5" ht="18" customHeight="1">
      <c r="B19" s="57" t="str">
        <f>IF(H26,"Output Frequency = ","Recovery Time = ")</f>
        <v>Output Frequency = </v>
      </c>
      <c r="C19" s="62">
        <f>IF(H27,1000*C39,C64)</f>
        <v>480.29781345917735</v>
      </c>
      <c r="D19" s="17" t="str">
        <f>IF(H26,"Hz","ms")</f>
        <v>Hz</v>
      </c>
      <c r="E19" s="58">
        <f>IF(H$26,"","(Timing Capacitor discharged to 1%)")</f>
      </c>
    </row>
    <row r="20" spans="2:5" ht="18" customHeight="1">
      <c r="B20" s="57" t="str">
        <f>IF(H26,"Output Duty Cycle = ","")</f>
        <v>Output Duty Cycle = </v>
      </c>
      <c r="C20" s="64">
        <f>IF(H27,"",C65)</f>
        <v>66.64585376141677</v>
      </c>
      <c r="D20" s="17" t="str">
        <f>IF(H26,"%","")</f>
        <v>%</v>
      </c>
      <c r="E20" s="45"/>
    </row>
    <row r="21" spans="2:5" ht="14.25" customHeight="1">
      <c r="B21" s="47"/>
      <c r="C21" s="34"/>
      <c r="D21" s="34"/>
      <c r="E21" s="45"/>
    </row>
    <row r="22" spans="2:5" ht="18" customHeight="1">
      <c r="B22" s="57" t="s">
        <v>28</v>
      </c>
      <c r="C22" s="62">
        <f>C51</f>
        <v>9.288888888888888</v>
      </c>
      <c r="D22" s="17" t="s">
        <v>30</v>
      </c>
      <c r="E22" s="58" t="s">
        <v>108</v>
      </c>
    </row>
    <row r="23" spans="1:14" ht="18" customHeight="1">
      <c r="A23" s="10"/>
      <c r="B23" s="57" t="s">
        <v>29</v>
      </c>
      <c r="C23" s="62">
        <f>C52</f>
        <v>6.757092556583347</v>
      </c>
      <c r="D23" s="17" t="s">
        <v>30</v>
      </c>
      <c r="E23" s="58" t="s">
        <v>69</v>
      </c>
      <c r="F23" s="10"/>
      <c r="G23" s="10"/>
      <c r="H23" s="10"/>
      <c r="I23" s="10"/>
      <c r="K23" s="10"/>
      <c r="L23" s="8"/>
      <c r="M23" s="8"/>
      <c r="N23" s="8"/>
    </row>
    <row r="24" spans="1:14" ht="18" customHeight="1">
      <c r="A24" s="10"/>
      <c r="B24" s="44"/>
      <c r="C24" s="54"/>
      <c r="D24" s="18"/>
      <c r="E24" s="59"/>
      <c r="F24" s="10"/>
      <c r="G24" s="10"/>
      <c r="H24" s="10"/>
      <c r="I24" s="10"/>
      <c r="K24" s="10"/>
      <c r="L24" s="8"/>
      <c r="M24" s="8"/>
      <c r="N24" s="8"/>
    </row>
    <row r="25" spans="1:14" ht="14.25" hidden="1">
      <c r="A25" s="10"/>
      <c r="B25" s="28"/>
      <c r="C25" s="29"/>
      <c r="D25" s="11"/>
      <c r="E25" s="11"/>
      <c r="F25" s="11"/>
      <c r="G25" s="11"/>
      <c r="H25" s="11"/>
      <c r="I25" s="11"/>
      <c r="J25" s="10"/>
      <c r="K25" s="10"/>
      <c r="L25" s="8"/>
      <c r="M25" s="8"/>
      <c r="N25" s="8"/>
    </row>
    <row r="26" spans="1:14" ht="15" hidden="1">
      <c r="A26" s="10"/>
      <c r="B26" s="30" t="s">
        <v>33</v>
      </c>
      <c r="C26" s="31">
        <f>RA*G$30</f>
        <v>1000000</v>
      </c>
      <c r="D26" s="11" t="s">
        <v>31</v>
      </c>
      <c r="E26" s="11"/>
      <c r="F26" s="11"/>
      <c r="G26" s="26" t="s">
        <v>58</v>
      </c>
      <c r="H26" s="14">
        <f>IF(C$6="Astable",1,0)</f>
        <v>1</v>
      </c>
      <c r="I26" s="7" t="s">
        <v>3</v>
      </c>
      <c r="J26" s="10"/>
      <c r="K26" s="10"/>
      <c r="L26" s="8"/>
      <c r="M26" s="8"/>
      <c r="N26" s="8"/>
    </row>
    <row r="27" spans="1:14" ht="14.25" hidden="1">
      <c r="A27" s="10"/>
      <c r="B27" s="30" t="s">
        <v>34</v>
      </c>
      <c r="C27" s="31">
        <f>RB*G$33</f>
        <v>1000000</v>
      </c>
      <c r="D27" s="23" t="s">
        <v>31</v>
      </c>
      <c r="E27" s="11"/>
      <c r="F27" s="11"/>
      <c r="G27" s="11"/>
      <c r="H27" s="14">
        <f>IF(C$6="Monostable",1,0)</f>
        <v>0</v>
      </c>
      <c r="I27" s="7" t="s">
        <v>2</v>
      </c>
      <c r="J27" s="10"/>
      <c r="K27" s="10"/>
      <c r="L27" s="8"/>
      <c r="M27" s="8"/>
      <c r="N27" s="8"/>
    </row>
    <row r="28" spans="1:14" ht="14.25" hidden="1">
      <c r="A28" s="10"/>
      <c r="B28" s="30" t="s">
        <v>35</v>
      </c>
      <c r="C28" s="31">
        <f>CT*G$37</f>
        <v>1E-09</v>
      </c>
      <c r="D28" s="23" t="s">
        <v>32</v>
      </c>
      <c r="E28" s="11"/>
      <c r="F28" s="11"/>
      <c r="G28" s="7"/>
      <c r="H28" s="7"/>
      <c r="I28" s="7"/>
      <c r="J28" s="10"/>
      <c r="K28" s="10"/>
      <c r="L28" s="8"/>
      <c r="M28" s="8"/>
      <c r="N28" s="8"/>
    </row>
    <row r="29" spans="1:14" ht="15" hidden="1">
      <c r="A29" s="10"/>
      <c r="B29" s="28"/>
      <c r="C29" s="29"/>
      <c r="D29" s="11"/>
      <c r="E29" s="11"/>
      <c r="F29" s="11"/>
      <c r="G29" s="25" t="s">
        <v>57</v>
      </c>
      <c r="H29" s="14">
        <f>IF(D$12="K",1,0)</f>
        <v>0</v>
      </c>
      <c r="I29" s="14" t="s">
        <v>7</v>
      </c>
      <c r="J29" s="10"/>
      <c r="K29" s="10"/>
      <c r="L29" s="8"/>
      <c r="M29" s="8"/>
      <c r="N29" s="8"/>
    </row>
    <row r="30" spans="1:14" ht="15" hidden="1">
      <c r="A30" s="10"/>
      <c r="B30" s="28"/>
      <c r="C30" s="32" t="s">
        <v>2</v>
      </c>
      <c r="D30" s="11"/>
      <c r="E30" s="11"/>
      <c r="F30" s="11"/>
      <c r="G30" s="33">
        <f>H29*1000+H30*1000000</f>
        <v>1000000</v>
      </c>
      <c r="H30" s="14">
        <f>IF(D$12="Meg",1,0)</f>
        <v>1</v>
      </c>
      <c r="I30" s="14" t="s">
        <v>5</v>
      </c>
      <c r="J30" s="10"/>
      <c r="K30" s="10"/>
      <c r="L30" s="8"/>
      <c r="M30" s="8"/>
      <c r="N30" s="8"/>
    </row>
    <row r="31" spans="1:14" ht="14.25" hidden="1">
      <c r="A31" s="11"/>
      <c r="B31" s="28" t="s">
        <v>36</v>
      </c>
      <c r="C31" s="22">
        <f>IF(H47,-LN(1/3),-LN(0.1))</f>
        <v>1.0986122886681098</v>
      </c>
      <c r="D31" s="34" t="s">
        <v>37</v>
      </c>
      <c r="E31" s="11"/>
      <c r="F31" s="11"/>
      <c r="G31" s="34"/>
      <c r="H31" s="34"/>
      <c r="I31" s="34"/>
      <c r="J31" s="10"/>
      <c r="K31" s="10"/>
      <c r="L31" s="8"/>
      <c r="M31" s="8"/>
      <c r="N31" s="8"/>
    </row>
    <row r="32" spans="2:14" ht="15" hidden="1">
      <c r="B32" s="28" t="s">
        <v>36</v>
      </c>
      <c r="C32" s="22">
        <f>IF(H$47,LN(2/3)-LN(1/3),LN(0.9)-LN(0.1))</f>
        <v>0.6931471805599454</v>
      </c>
      <c r="D32" s="34" t="s">
        <v>38</v>
      </c>
      <c r="E32" s="34"/>
      <c r="F32" s="11"/>
      <c r="G32" s="25" t="s">
        <v>59</v>
      </c>
      <c r="H32" s="14">
        <f>IF(D$13="K",1,0)</f>
        <v>0</v>
      </c>
      <c r="I32" s="14" t="s">
        <v>7</v>
      </c>
      <c r="J32" s="10"/>
      <c r="K32" s="10"/>
      <c r="L32" s="8"/>
      <c r="M32" s="8"/>
      <c r="N32" s="8"/>
    </row>
    <row r="33" spans="2:14" ht="14.25" hidden="1">
      <c r="B33" s="28" t="s">
        <v>40</v>
      </c>
      <c r="C33" s="22">
        <f>IF(H$47,LN(2/3)-LN(1/3),LN(0.9)-LN(0.1))</f>
        <v>0.6931471805599454</v>
      </c>
      <c r="D33" s="34" t="s">
        <v>39</v>
      </c>
      <c r="E33" s="34"/>
      <c r="F33" s="7"/>
      <c r="G33" s="33">
        <f>H32*1000+H33*1000000</f>
        <v>1000000</v>
      </c>
      <c r="H33" s="14">
        <f>IF(D$13="Meg",1,0)</f>
        <v>1</v>
      </c>
      <c r="I33" s="14" t="s">
        <v>5</v>
      </c>
      <c r="J33" s="10"/>
      <c r="K33" s="10"/>
      <c r="L33" s="8"/>
      <c r="M33" s="8"/>
      <c r="N33" s="8"/>
    </row>
    <row r="34" spans="2:14" ht="14.25" hidden="1">
      <c r="B34" s="28" t="s">
        <v>40</v>
      </c>
      <c r="C34" s="22">
        <f>-LN(0.01)</f>
        <v>4.605170185988091</v>
      </c>
      <c r="D34" s="34" t="s">
        <v>56</v>
      </c>
      <c r="E34" s="34"/>
      <c r="F34" s="7"/>
      <c r="G34" s="34"/>
      <c r="H34" s="34"/>
      <c r="I34" s="34"/>
      <c r="J34" s="10"/>
      <c r="K34" s="10"/>
      <c r="L34" s="8"/>
      <c r="M34" s="8"/>
      <c r="N34" s="8"/>
    </row>
    <row r="35" spans="2:14" ht="14.25" hidden="1">
      <c r="B35" s="34"/>
      <c r="C35" s="34"/>
      <c r="D35" s="34"/>
      <c r="E35" s="34"/>
      <c r="F35" s="7"/>
      <c r="G35" s="34"/>
      <c r="H35" s="14">
        <f>IF(D$14="pF",1,0)</f>
        <v>0</v>
      </c>
      <c r="I35" s="35" t="s">
        <v>8</v>
      </c>
      <c r="J35" s="10"/>
      <c r="K35" s="10"/>
      <c r="L35" s="8"/>
      <c r="M35" s="8"/>
      <c r="N35" s="8"/>
    </row>
    <row r="36" spans="2:14" ht="15" hidden="1">
      <c r="B36" s="28" t="s">
        <v>36</v>
      </c>
      <c r="C36" s="36">
        <f>C31*(ResA+ResB)*CapT+G62</f>
        <v>0.00219852457733622</v>
      </c>
      <c r="D36" s="34" t="s">
        <v>41</v>
      </c>
      <c r="E36" s="34"/>
      <c r="F36" s="34"/>
      <c r="G36" s="25" t="s">
        <v>60</v>
      </c>
      <c r="H36" s="14">
        <f>IF(D$14="nF",1,0)</f>
        <v>1</v>
      </c>
      <c r="I36" s="35" t="s">
        <v>18</v>
      </c>
      <c r="J36" s="10"/>
      <c r="K36" s="10"/>
      <c r="L36" s="8"/>
      <c r="M36" s="8"/>
      <c r="N36" s="8"/>
    </row>
    <row r="37" spans="2:14" ht="14.25" hidden="1">
      <c r="B37" s="28" t="s">
        <v>36</v>
      </c>
      <c r="C37" s="36">
        <f>C32*(ResA+ResB)*CapT+G62</f>
        <v>0.001387594361119891</v>
      </c>
      <c r="D37" s="34" t="s">
        <v>42</v>
      </c>
      <c r="E37" s="34"/>
      <c r="F37" s="34"/>
      <c r="G37" s="33">
        <f>H35*0.000000000001+H36*0.000000001+H37*0.000001</f>
        <v>1E-09</v>
      </c>
      <c r="H37" s="14">
        <f>IF(D$14="uF",1,0)</f>
        <v>0</v>
      </c>
      <c r="I37" s="35" t="s">
        <v>9</v>
      </c>
      <c r="J37" s="10"/>
      <c r="K37" s="10"/>
      <c r="L37" s="8"/>
      <c r="M37" s="8"/>
      <c r="N37" s="8"/>
    </row>
    <row r="38" spans="2:14" ht="14.25" hidden="1">
      <c r="B38" s="28" t="s">
        <v>40</v>
      </c>
      <c r="C38" s="36">
        <f>C33*ResB*CapT+G62</f>
        <v>0.0006944471805599454</v>
      </c>
      <c r="D38" s="34" t="s">
        <v>43</v>
      </c>
      <c r="E38" s="34"/>
      <c r="F38" s="34"/>
      <c r="G38" s="34"/>
      <c r="H38" s="34"/>
      <c r="I38" s="34"/>
      <c r="J38" s="10"/>
      <c r="K38" s="10"/>
      <c r="L38" s="8"/>
      <c r="M38" s="8"/>
      <c r="N38" s="8"/>
    </row>
    <row r="39" spans="2:14" ht="14.25" hidden="1">
      <c r="B39" s="28" t="s">
        <v>40</v>
      </c>
      <c r="C39" s="36">
        <f>C34*ResB*CapT</f>
        <v>0.004605170185988091</v>
      </c>
      <c r="D39" s="34" t="s">
        <v>55</v>
      </c>
      <c r="E39" s="34"/>
      <c r="F39" s="34"/>
      <c r="G39" s="34"/>
      <c r="H39" s="35">
        <f>IF(C15="1",1,0)</f>
        <v>1</v>
      </c>
      <c r="I39" s="35">
        <v>1</v>
      </c>
      <c r="J39" s="10"/>
      <c r="K39" s="10"/>
      <c r="L39" s="8"/>
      <c r="M39" s="8"/>
      <c r="N39" s="8"/>
    </row>
    <row r="40" spans="2:14" ht="14.25" hidden="1">
      <c r="B40" s="34"/>
      <c r="C40" s="34"/>
      <c r="D40" s="34"/>
      <c r="E40" s="34"/>
      <c r="F40" s="34"/>
      <c r="G40" s="34"/>
      <c r="H40" s="35">
        <f>IF(C15="10",10,0)</f>
        <v>0</v>
      </c>
      <c r="I40" s="35">
        <v>10</v>
      </c>
      <c r="J40" s="10"/>
      <c r="K40" s="10"/>
      <c r="L40" s="8"/>
      <c r="M40" s="8"/>
      <c r="N40" s="8"/>
    </row>
    <row r="41" spans="2:14" ht="14.25" hidden="1">
      <c r="B41" s="28" t="s">
        <v>44</v>
      </c>
      <c r="C41" s="36">
        <f>C36</f>
        <v>0.00219852457733622</v>
      </c>
      <c r="D41" s="34" t="s">
        <v>41</v>
      </c>
      <c r="E41" s="34"/>
      <c r="F41" s="34"/>
      <c r="G41" s="34"/>
      <c r="H41" s="35">
        <f>IF(C15="100",100,0)</f>
        <v>0</v>
      </c>
      <c r="I41" s="35">
        <v>100</v>
      </c>
      <c r="J41" s="10"/>
      <c r="K41" s="10"/>
      <c r="L41" s="8"/>
      <c r="M41" s="8"/>
      <c r="N41" s="8"/>
    </row>
    <row r="42" spans="2:14" ht="14.25" hidden="1">
      <c r="B42" s="28" t="s">
        <v>45</v>
      </c>
      <c r="C42" s="36">
        <f>C37+C38</f>
        <v>0.002082041541679836</v>
      </c>
      <c r="D42" s="34" t="s">
        <v>46</v>
      </c>
      <c r="E42" s="34"/>
      <c r="F42" s="34"/>
      <c r="G42" s="34"/>
      <c r="H42" s="35">
        <f>IF(C15="1K",1000,0)</f>
        <v>0</v>
      </c>
      <c r="I42" s="35" t="s">
        <v>14</v>
      </c>
      <c r="J42" s="10"/>
      <c r="K42" s="10"/>
      <c r="L42" s="8"/>
      <c r="M42" s="8"/>
      <c r="N42" s="8"/>
    </row>
    <row r="43" spans="2:14" ht="14.25" hidden="1">
      <c r="B43" s="28" t="s">
        <v>47</v>
      </c>
      <c r="C43" s="36">
        <f>C41+(Mult-1)*C42</f>
        <v>0.00219852457733622</v>
      </c>
      <c r="D43" s="34" t="s">
        <v>22</v>
      </c>
      <c r="E43" s="34"/>
      <c r="F43" s="34"/>
      <c r="G43" s="34"/>
      <c r="H43" s="35">
        <f>IF(C15="10K",10000,0)</f>
        <v>0</v>
      </c>
      <c r="I43" s="35" t="s">
        <v>15</v>
      </c>
      <c r="J43" s="10"/>
      <c r="K43" s="10"/>
      <c r="L43" s="8"/>
      <c r="M43" s="8"/>
      <c r="N43" s="8"/>
    </row>
    <row r="44" spans="2:14" ht="15" hidden="1">
      <c r="B44" s="28" t="s">
        <v>47</v>
      </c>
      <c r="C44" s="36">
        <f>C43/G$53</f>
        <v>3.6642076288937E-05</v>
      </c>
      <c r="D44" s="37" t="str">
        <f>D18</f>
        <v>min</v>
      </c>
      <c r="E44" s="34"/>
      <c r="F44" s="34"/>
      <c r="G44" s="25" t="s">
        <v>61</v>
      </c>
      <c r="H44" s="35">
        <f>IF(C15="100K",100000,0)</f>
        <v>0</v>
      </c>
      <c r="I44" s="35" t="s">
        <v>16</v>
      </c>
      <c r="J44" s="10"/>
      <c r="K44" s="10"/>
      <c r="L44" s="8"/>
      <c r="M44" s="8"/>
      <c r="N44" s="8"/>
    </row>
    <row r="45" spans="2:14" ht="14.25" hidden="1">
      <c r="B45" s="34"/>
      <c r="C45" s="35"/>
      <c r="D45" s="34"/>
      <c r="E45" s="34"/>
      <c r="F45" s="34"/>
      <c r="G45" s="33">
        <f>SUM(H39:H45)</f>
        <v>1</v>
      </c>
      <c r="H45" s="35">
        <f>IF(C15="1M",1000000,0)</f>
        <v>0</v>
      </c>
      <c r="I45" s="35" t="s">
        <v>17</v>
      </c>
      <c r="J45" s="10"/>
      <c r="K45" s="10"/>
      <c r="L45" s="8"/>
      <c r="M45" s="8"/>
      <c r="N45" s="8"/>
    </row>
    <row r="46" spans="2:14" ht="15" hidden="1">
      <c r="B46" s="26" t="s">
        <v>49</v>
      </c>
      <c r="C46" s="35"/>
      <c r="D46" s="34"/>
      <c r="E46" s="34"/>
      <c r="F46" s="34"/>
      <c r="G46" s="34"/>
      <c r="H46" s="34"/>
      <c r="I46" s="34"/>
      <c r="J46" s="10"/>
      <c r="K46" s="10"/>
      <c r="L46" s="8"/>
      <c r="M46" s="8"/>
      <c r="N46" s="8"/>
    </row>
    <row r="47" spans="2:14" ht="15" hidden="1">
      <c r="B47" s="28" t="s">
        <v>48</v>
      </c>
      <c r="C47" s="38">
        <f>VDD/7.5</f>
        <v>0.6666666666666666</v>
      </c>
      <c r="D47" s="34" t="s">
        <v>30</v>
      </c>
      <c r="E47" s="34"/>
      <c r="F47" s="34"/>
      <c r="G47" s="25" t="s">
        <v>106</v>
      </c>
      <c r="H47" s="14">
        <f>IF(C$8="Standard",1,0)</f>
        <v>1</v>
      </c>
      <c r="I47" s="7" t="s">
        <v>104</v>
      </c>
      <c r="J47" s="10"/>
      <c r="K47" s="10"/>
      <c r="L47" s="8"/>
      <c r="M47" s="8"/>
      <c r="N47" s="8"/>
    </row>
    <row r="48" spans="2:14" ht="14.25" hidden="1">
      <c r="B48" s="28" t="s">
        <v>50</v>
      </c>
      <c r="C48" s="38">
        <f>IF(H$58,1.4+VDD/2.25,9.3+VDD/0.4)</f>
        <v>3.6222222222222222</v>
      </c>
      <c r="D48" s="34" t="s">
        <v>30</v>
      </c>
      <c r="E48" s="34"/>
      <c r="F48" s="34"/>
      <c r="G48" s="73">
        <f>H48*0.8*C9+H47*C9/3</f>
        <v>1.6666666666666667</v>
      </c>
      <c r="H48" s="14">
        <f>IF(C$8="Low Volt",1,0)</f>
        <v>0</v>
      </c>
      <c r="I48" s="7" t="s">
        <v>105</v>
      </c>
      <c r="J48" s="10"/>
      <c r="K48" s="10"/>
      <c r="L48" s="8"/>
      <c r="M48" s="8"/>
      <c r="N48" s="8"/>
    </row>
    <row r="49" spans="2:14" ht="14.25" hidden="1">
      <c r="B49" s="28" t="s">
        <v>51</v>
      </c>
      <c r="C49" s="38">
        <f>1000000*VDD/ResA</f>
        <v>5</v>
      </c>
      <c r="D49" s="34" t="s">
        <v>30</v>
      </c>
      <c r="E49" s="34"/>
      <c r="F49" s="34"/>
      <c r="G49" s="34"/>
      <c r="H49" s="14">
        <f>IF(D$18="usec",1,0)</f>
        <v>0</v>
      </c>
      <c r="I49" s="35" t="s">
        <v>90</v>
      </c>
      <c r="J49" s="10"/>
      <c r="K49" s="10"/>
      <c r="L49" s="8"/>
      <c r="M49" s="8"/>
      <c r="N49" s="8"/>
    </row>
    <row r="50" spans="2:14" ht="14.25" hidden="1">
      <c r="B50" s="28" t="s">
        <v>52</v>
      </c>
      <c r="C50" s="38">
        <f>1000000*(DeltaV*CapT/C61+C59*VDD/(C61*ResA))</f>
        <v>2.4682036676944574</v>
      </c>
      <c r="D50" s="34" t="s">
        <v>30</v>
      </c>
      <c r="E50" s="34"/>
      <c r="F50" s="34"/>
      <c r="G50" s="34"/>
      <c r="H50" s="14">
        <f>IF(D$18="msec",1,0)</f>
        <v>0</v>
      </c>
      <c r="I50" s="35" t="s">
        <v>25</v>
      </c>
      <c r="J50" s="10"/>
      <c r="K50" s="10"/>
      <c r="L50" s="8"/>
      <c r="M50" s="8"/>
      <c r="N50" s="8"/>
    </row>
    <row r="51" spans="1:14" ht="14.25" hidden="1">
      <c r="A51" s="10"/>
      <c r="B51" s="28" t="s">
        <v>53</v>
      </c>
      <c r="C51" s="38">
        <f>C47+C48+C49</f>
        <v>9.288888888888888</v>
      </c>
      <c r="D51" s="34" t="s">
        <v>30</v>
      </c>
      <c r="E51" s="34"/>
      <c r="F51" s="34"/>
      <c r="G51" s="11"/>
      <c r="H51" s="14">
        <f>IF(D$18="sec",1,0)</f>
        <v>0</v>
      </c>
      <c r="I51" s="39" t="s">
        <v>22</v>
      </c>
      <c r="J51" s="10"/>
      <c r="K51" s="10"/>
      <c r="L51" s="8"/>
      <c r="M51" s="8"/>
      <c r="N51" s="8"/>
    </row>
    <row r="52" spans="1:14" ht="15" hidden="1">
      <c r="A52" s="10"/>
      <c r="B52" s="28" t="s">
        <v>54</v>
      </c>
      <c r="C52" s="40">
        <f>C47+C48+C50</f>
        <v>6.757092556583347</v>
      </c>
      <c r="D52" s="34" t="s">
        <v>30</v>
      </c>
      <c r="E52" s="34"/>
      <c r="F52" s="34"/>
      <c r="G52" s="25" t="s">
        <v>62</v>
      </c>
      <c r="H52" s="14">
        <f>IF(D$18="min",1,0)</f>
        <v>1</v>
      </c>
      <c r="I52" s="39" t="s">
        <v>26</v>
      </c>
      <c r="J52" s="10"/>
      <c r="K52" s="10"/>
      <c r="L52" s="8"/>
      <c r="M52" s="8"/>
      <c r="N52" s="8"/>
    </row>
    <row r="53" spans="1:14" ht="14.25" hidden="1">
      <c r="A53" s="10"/>
      <c r="B53" s="34"/>
      <c r="C53" s="34"/>
      <c r="D53" s="34"/>
      <c r="E53" s="34"/>
      <c r="F53" s="11"/>
      <c r="G53" s="41">
        <f>0.000001*H49+0.001*H50+H51+60*H52+3600*H53</f>
        <v>60</v>
      </c>
      <c r="H53" s="14">
        <f>IF(D$18="hours",1,0)</f>
        <v>0</v>
      </c>
      <c r="I53" s="39" t="s">
        <v>27</v>
      </c>
      <c r="J53" s="10"/>
      <c r="K53" s="10"/>
      <c r="L53" s="8"/>
      <c r="M53" s="8"/>
      <c r="N53" s="8"/>
    </row>
    <row r="54" spans="1:14" ht="15" hidden="1">
      <c r="A54" s="10"/>
      <c r="B54" s="11"/>
      <c r="C54" s="32" t="s">
        <v>3</v>
      </c>
      <c r="D54" s="11"/>
      <c r="E54" s="34"/>
      <c r="F54" s="11"/>
      <c r="G54" s="34"/>
      <c r="H54" s="34"/>
      <c r="I54" s="34"/>
      <c r="J54" s="10"/>
      <c r="K54" s="10"/>
      <c r="L54" s="8"/>
      <c r="M54" s="8"/>
      <c r="N54" s="8"/>
    </row>
    <row r="55" spans="1:14" ht="14.25" hidden="1">
      <c r="A55" s="10"/>
      <c r="B55" s="28" t="s">
        <v>36</v>
      </c>
      <c r="C55" s="22">
        <f>IF(H$47,LN(2/3)-LN(1/3),LN(0.9)-LN(0.1))</f>
        <v>0.6931471805599454</v>
      </c>
      <c r="D55" s="34" t="s">
        <v>38</v>
      </c>
      <c r="E55" s="11"/>
      <c r="F55" s="11"/>
      <c r="H55" s="34"/>
      <c r="I55" s="34"/>
      <c r="J55" s="10"/>
      <c r="K55" s="10"/>
      <c r="L55" s="8"/>
      <c r="M55" s="8"/>
      <c r="N55" s="8"/>
    </row>
    <row r="56" spans="1:14" ht="14.25" hidden="1">
      <c r="A56" s="10"/>
      <c r="B56" s="28" t="s">
        <v>40</v>
      </c>
      <c r="C56" s="22">
        <f>IF(H$47,LN(2/3)-LN(1/3),LN(0.9)-LN(0.1))</f>
        <v>0.6931471805599454</v>
      </c>
      <c r="D56" s="34" t="s">
        <v>39</v>
      </c>
      <c r="E56" s="11"/>
      <c r="F56" s="11"/>
      <c r="H56" s="11"/>
      <c r="I56" s="11"/>
      <c r="J56" s="10"/>
      <c r="K56" s="10"/>
      <c r="L56" s="8"/>
      <c r="M56" s="8"/>
      <c r="N56" s="8"/>
    </row>
    <row r="57" spans="1:14" ht="14.25" hidden="1">
      <c r="A57" s="10"/>
      <c r="B57" s="11"/>
      <c r="C57" s="11"/>
      <c r="D57" s="11"/>
      <c r="E57" s="11"/>
      <c r="F57" s="11"/>
      <c r="G57" s="11"/>
      <c r="H57" s="11"/>
      <c r="I57" s="11"/>
      <c r="J57" s="10"/>
      <c r="K57" s="10"/>
      <c r="L57" s="8"/>
      <c r="M57" s="8"/>
      <c r="N57" s="8"/>
    </row>
    <row r="58" spans="1:11" ht="15" hidden="1">
      <c r="A58" s="10"/>
      <c r="B58" s="28" t="s">
        <v>36</v>
      </c>
      <c r="C58" s="36">
        <f>C55*(ResA+ResB)*CapT+G62</f>
        <v>0.001387594361119891</v>
      </c>
      <c r="D58" s="34" t="s">
        <v>42</v>
      </c>
      <c r="E58" s="11"/>
      <c r="F58" s="11"/>
      <c r="G58" s="26" t="s">
        <v>101</v>
      </c>
      <c r="H58" s="14">
        <f>IF(C$7="Micro",1,0)</f>
        <v>1</v>
      </c>
      <c r="I58" s="7" t="s">
        <v>102</v>
      </c>
      <c r="J58" s="10"/>
      <c r="K58" s="10"/>
    </row>
    <row r="59" spans="1:11" ht="14.25" hidden="1">
      <c r="A59" s="10"/>
      <c r="B59" s="28" t="s">
        <v>40</v>
      </c>
      <c r="C59" s="36">
        <f>C56*ResB*CapT+G62</f>
        <v>0.0006944471805599454</v>
      </c>
      <c r="D59" s="34" t="s">
        <v>43</v>
      </c>
      <c r="E59" s="11"/>
      <c r="F59" s="11"/>
      <c r="G59" s="11"/>
      <c r="H59" s="14">
        <f>IF(C$7="Low",1,0)</f>
        <v>0</v>
      </c>
      <c r="I59" s="7" t="s">
        <v>103</v>
      </c>
      <c r="J59" s="10"/>
      <c r="K59" s="10"/>
    </row>
    <row r="60" spans="1:11" ht="14.25" hidden="1">
      <c r="A60" s="10"/>
      <c r="B60" s="11"/>
      <c r="C60" s="11"/>
      <c r="D60" s="11"/>
      <c r="E60" s="11"/>
      <c r="F60" s="11"/>
      <c r="G60" s="11"/>
      <c r="H60" s="11"/>
      <c r="I60" s="11"/>
      <c r="J60" s="10"/>
      <c r="K60" s="10"/>
    </row>
    <row r="61" spans="1:11" ht="15" hidden="1">
      <c r="A61" s="10"/>
      <c r="B61" s="28" t="s">
        <v>63</v>
      </c>
      <c r="C61" s="36">
        <f>C58+C59</f>
        <v>0.002082041541679836</v>
      </c>
      <c r="D61" s="34" t="s">
        <v>46</v>
      </c>
      <c r="E61" s="11"/>
      <c r="F61" s="11"/>
      <c r="G61" s="25" t="s">
        <v>107</v>
      </c>
      <c r="J61" s="10"/>
      <c r="K61" s="10"/>
    </row>
    <row r="62" spans="1:11" ht="14.25" hidden="1">
      <c r="A62" s="10"/>
      <c r="B62" s="28" t="s">
        <v>68</v>
      </c>
      <c r="C62" s="36">
        <f>Mult*C61</f>
        <v>0.002082041541679836</v>
      </c>
      <c r="D62" s="34" t="s">
        <v>22</v>
      </c>
      <c r="E62" s="11"/>
      <c r="F62" s="11"/>
      <c r="G62" s="73">
        <f>H58*0.0000013+H59*0.0000003</f>
        <v>1.3E-06</v>
      </c>
      <c r="J62" s="10"/>
      <c r="K62" s="10"/>
    </row>
    <row r="63" spans="1:11" ht="14.25" hidden="1">
      <c r="A63" s="10"/>
      <c r="B63" s="28" t="s">
        <v>68</v>
      </c>
      <c r="C63" s="36">
        <f>C62/G$53</f>
        <v>3.4700692361330604E-05</v>
      </c>
      <c r="D63" s="37" t="str">
        <f>D18</f>
        <v>min</v>
      </c>
      <c r="E63" s="11"/>
      <c r="F63" s="11"/>
      <c r="J63" s="10"/>
      <c r="K63" s="10"/>
    </row>
    <row r="64" spans="1:11" ht="14.25" hidden="1">
      <c r="A64" s="10"/>
      <c r="B64" s="28" t="s">
        <v>64</v>
      </c>
      <c r="C64" s="42">
        <f>1/C62</f>
        <v>480.29781345917735</v>
      </c>
      <c r="D64" s="11" t="s">
        <v>65</v>
      </c>
      <c r="E64" s="11"/>
      <c r="F64" s="11"/>
      <c r="G64" s="11"/>
      <c r="H64" s="11"/>
      <c r="I64" s="11"/>
      <c r="J64" s="10"/>
      <c r="K64" s="10"/>
    </row>
    <row r="65" spans="1:11" ht="14.25" hidden="1">
      <c r="A65" s="10"/>
      <c r="B65" s="28" t="s">
        <v>66</v>
      </c>
      <c r="C65" s="43">
        <f>IF(Mult&lt;10,100*C58/C61,50)</f>
        <v>66.64585376141677</v>
      </c>
      <c r="D65" s="11" t="s">
        <v>67</v>
      </c>
      <c r="E65" s="11"/>
      <c r="F65" s="11"/>
      <c r="G65" s="11"/>
      <c r="H65" s="11"/>
      <c r="I65" s="11"/>
      <c r="J65" s="10"/>
      <c r="K65" s="10"/>
    </row>
    <row r="66" spans="1:11" ht="14.2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</sheetData>
  <sheetProtection password="8441" sheet="1" objects="1" scenarios="1"/>
  <mergeCells count="3">
    <mergeCell ref="B5:C5"/>
    <mergeCell ref="B17:C17"/>
    <mergeCell ref="B11:C11"/>
  </mergeCells>
  <printOptions gridLines="1" headings="1" horizontalCentered="1"/>
  <pageMargins left="0.75" right="0.75" top="1" bottom="0.75" header="0.5" footer="0.5"/>
  <pageSetup horizontalDpi="300" verticalDpi="300" orientation="landscape" r:id="rId4"/>
  <headerFooter alignWithMargins="0">
    <oddFooter>&amp;LCSS/F.Bohac&amp;R&amp;F</oddFooter>
  </headerFooter>
  <rowBreaks count="2" manualBreakCount="2">
    <brk id="24" max="255" man="1"/>
    <brk id="66" max="255" man="1"/>
  </rowBreaks>
  <colBreaks count="1" manualBreakCount="1">
    <brk id="10" max="65535" man="1"/>
  </colBreaks>
  <drawing r:id="rId3"/>
  <legacyDrawing r:id="rId2"/>
  <oleObjects>
    <oleObject progId="MSDraw" shapeId="216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81"/>
  <sheetViews>
    <sheetView showGridLines="0" showRowColHeaders="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20.625" style="0" customWidth="1"/>
    <col min="3" max="3" width="13.125" style="0" customWidth="1"/>
    <col min="4" max="4" width="7.125" style="0" customWidth="1"/>
    <col min="5" max="7" width="10.625" style="0" customWidth="1"/>
    <col min="8" max="8" width="10.75390625" style="0" customWidth="1"/>
    <col min="9" max="12" width="10.625" style="0" customWidth="1"/>
  </cols>
  <sheetData>
    <row r="1" spans="3:12" ht="28.5" customHeight="1">
      <c r="C1" s="27" t="s">
        <v>112</v>
      </c>
      <c r="K1" s="53">
        <v>39976</v>
      </c>
      <c r="L1" s="4"/>
    </row>
    <row r="2" spans="1:3" ht="22.5" customHeight="1">
      <c r="A2" s="2"/>
      <c r="C2" s="24" t="s">
        <v>1</v>
      </c>
    </row>
    <row r="3" spans="1:9" ht="14.25" customHeight="1">
      <c r="A3" s="2"/>
      <c r="C3" s="71" t="s">
        <v>89</v>
      </c>
      <c r="H3" s="19" t="s">
        <v>19</v>
      </c>
      <c r="I3" s="20" t="s">
        <v>70</v>
      </c>
    </row>
    <row r="4" spans="8:9" ht="14.25">
      <c r="H4" s="21" t="s">
        <v>20</v>
      </c>
      <c r="I4" s="20" t="s">
        <v>21</v>
      </c>
    </row>
    <row r="5" spans="2:9" ht="19.5" customHeight="1">
      <c r="B5" s="81" t="s">
        <v>23</v>
      </c>
      <c r="C5" s="81"/>
      <c r="H5" s="55" t="s">
        <v>93</v>
      </c>
      <c r="I5" s="20" t="s">
        <v>94</v>
      </c>
    </row>
    <row r="6" spans="2:12" ht="18" customHeight="1">
      <c r="B6" s="56" t="s">
        <v>12</v>
      </c>
      <c r="C6" s="79" t="s">
        <v>3</v>
      </c>
      <c r="E6" s="3"/>
      <c r="K6" s="13"/>
      <c r="L6" s="13"/>
    </row>
    <row r="7" spans="2:12" ht="18" customHeight="1">
      <c r="B7" s="56" t="s">
        <v>96</v>
      </c>
      <c r="C7" s="75" t="s">
        <v>102</v>
      </c>
      <c r="E7" s="3"/>
      <c r="K7" s="13"/>
      <c r="L7" s="13"/>
    </row>
    <row r="8" spans="2:12" ht="18" customHeight="1">
      <c r="B8" s="56" t="s">
        <v>97</v>
      </c>
      <c r="C8" s="75" t="s">
        <v>104</v>
      </c>
      <c r="E8" s="3"/>
      <c r="K8" s="13"/>
      <c r="L8" s="13"/>
    </row>
    <row r="9" spans="2:6" ht="18" customHeight="1">
      <c r="B9" s="56" t="s">
        <v>11</v>
      </c>
      <c r="C9" s="60">
        <v>5</v>
      </c>
      <c r="D9" s="17" t="s">
        <v>10</v>
      </c>
      <c r="E9" s="72">
        <f>IF(VDD&lt;1.2,"VDD&lt;Vmin!",IF(VDD&gt;6,"Value too High!",IF(VDD&lt;1.8,"(Use Low V Trip Levels)","")))</f>
      </c>
      <c r="F9" s="46"/>
    </row>
    <row r="10" spans="2:5" ht="15" customHeight="1">
      <c r="B10" s="6"/>
      <c r="C10" s="9"/>
      <c r="D10" s="5"/>
      <c r="E10" s="3"/>
    </row>
    <row r="11" spans="2:4" ht="19.5" customHeight="1">
      <c r="B11" s="81" t="s">
        <v>4</v>
      </c>
      <c r="C11" s="81"/>
      <c r="D11" s="70" t="s">
        <v>6</v>
      </c>
    </row>
    <row r="12" spans="2:6" ht="18" customHeight="1">
      <c r="B12" s="56" t="s">
        <v>98</v>
      </c>
      <c r="C12" s="60">
        <v>1</v>
      </c>
      <c r="D12" s="48" t="s">
        <v>5</v>
      </c>
      <c r="E12" s="16"/>
      <c r="F12" s="7"/>
    </row>
    <row r="13" spans="2:6" ht="18" customHeight="1">
      <c r="B13" s="56" t="s">
        <v>99</v>
      </c>
      <c r="C13" s="80" t="s">
        <v>95</v>
      </c>
      <c r="D13" s="49"/>
      <c r="E13" s="3"/>
      <c r="F13" s="7"/>
    </row>
    <row r="14" spans="2:7" ht="18" customHeight="1">
      <c r="B14" s="56" t="s">
        <v>100</v>
      </c>
      <c r="C14" s="60">
        <v>1</v>
      </c>
      <c r="D14" s="48" t="s">
        <v>18</v>
      </c>
      <c r="E14" s="16"/>
      <c r="F14" s="7"/>
      <c r="G14" s="12"/>
    </row>
    <row r="15" spans="2:7" ht="18" customHeight="1">
      <c r="B15" s="56" t="s">
        <v>13</v>
      </c>
      <c r="C15" s="79">
        <v>1</v>
      </c>
      <c r="D15" s="15"/>
      <c r="E15" s="16"/>
      <c r="F15" s="7"/>
      <c r="G15" s="12"/>
    </row>
    <row r="16" spans="2:5" ht="15" customHeight="1">
      <c r="B16" s="1"/>
      <c r="C16" s="3"/>
      <c r="E16" s="3"/>
    </row>
    <row r="17" spans="2:5" ht="19.5" customHeight="1">
      <c r="B17" s="81" t="s">
        <v>24</v>
      </c>
      <c r="C17" s="81"/>
      <c r="D17" s="70" t="s">
        <v>6</v>
      </c>
      <c r="E17" s="3"/>
    </row>
    <row r="18" spans="2:5" ht="18" customHeight="1">
      <c r="B18" s="57" t="str">
        <f>"Output Period = "</f>
        <v>Output Period = </v>
      </c>
      <c r="C18" s="62">
        <f>C62</f>
        <v>1.3888943611198907</v>
      </c>
      <c r="D18" s="51" t="s">
        <v>25</v>
      </c>
      <c r="E18" s="45"/>
    </row>
    <row r="19" spans="2:5" ht="18" customHeight="1">
      <c r="B19" s="57" t="str">
        <f>"Output Frequency = "</f>
        <v>Output Frequency = </v>
      </c>
      <c r="C19" s="62">
        <f>C64</f>
        <v>719.9971632066256</v>
      </c>
      <c r="D19" s="17" t="str">
        <f>"Hz"</f>
        <v>Hz</v>
      </c>
      <c r="E19" s="46"/>
    </row>
    <row r="20" spans="2:5" ht="18" customHeight="1">
      <c r="B20" s="57" t="str">
        <f>"Output Duty Cycle = "</f>
        <v>Output Duty Cycle = </v>
      </c>
      <c r="C20" s="74">
        <v>50</v>
      </c>
      <c r="D20" s="17" t="str">
        <f>"%"</f>
        <v>%</v>
      </c>
      <c r="E20" s="45"/>
    </row>
    <row r="21" spans="2:5" ht="14.25" customHeight="1">
      <c r="B21" s="30"/>
      <c r="C21" s="11"/>
      <c r="D21" s="34"/>
      <c r="E21" s="45"/>
    </row>
    <row r="22" spans="2:5" ht="18" customHeight="1">
      <c r="B22" s="57" t="s">
        <v>28</v>
      </c>
      <c r="C22" s="62">
        <f>C51</f>
        <v>4.288888888888889</v>
      </c>
      <c r="D22" s="17" t="s">
        <v>30</v>
      </c>
      <c r="E22" s="58" t="s">
        <v>108</v>
      </c>
    </row>
    <row r="23" spans="1:14" ht="18" customHeight="1">
      <c r="A23" s="10"/>
      <c r="B23" s="57" t="s">
        <v>29</v>
      </c>
      <c r="C23" s="62">
        <f>C52</f>
        <v>5.488884160899931</v>
      </c>
      <c r="D23" s="17" t="s">
        <v>30</v>
      </c>
      <c r="E23" s="58" t="s">
        <v>69</v>
      </c>
      <c r="F23" s="10"/>
      <c r="G23" s="10"/>
      <c r="H23" s="10"/>
      <c r="I23" s="10"/>
      <c r="K23" s="10"/>
      <c r="L23" s="8"/>
      <c r="M23" s="8"/>
      <c r="N23" s="8"/>
    </row>
    <row r="24" spans="1:14" ht="18" customHeight="1">
      <c r="A24" s="10"/>
      <c r="B24" s="44"/>
      <c r="C24" s="54"/>
      <c r="D24" s="18"/>
      <c r="E24" s="46"/>
      <c r="F24" s="10"/>
      <c r="G24" s="10"/>
      <c r="H24" s="10"/>
      <c r="I24" s="10"/>
      <c r="K24" s="10"/>
      <c r="L24" s="8"/>
      <c r="M24" s="8"/>
      <c r="N24" s="8"/>
    </row>
    <row r="25" spans="1:14" ht="14.25" hidden="1">
      <c r="A25" s="10"/>
      <c r="B25" s="28"/>
      <c r="C25" s="29"/>
      <c r="D25" s="11"/>
      <c r="E25" s="11"/>
      <c r="F25" s="11"/>
      <c r="G25" s="11"/>
      <c r="H25" s="11"/>
      <c r="I25" s="11"/>
      <c r="J25" s="10"/>
      <c r="K25" s="10"/>
      <c r="L25" s="8"/>
      <c r="M25" s="8"/>
      <c r="N25" s="8"/>
    </row>
    <row r="26" spans="1:14" ht="15" hidden="1">
      <c r="A26" s="10"/>
      <c r="B26" s="30" t="s">
        <v>33</v>
      </c>
      <c r="C26" s="31">
        <f>RA*G$30</f>
        <v>1000000</v>
      </c>
      <c r="D26" s="11" t="s">
        <v>31</v>
      </c>
      <c r="E26" s="11"/>
      <c r="F26" s="11"/>
      <c r="G26" s="26"/>
      <c r="H26" s="14"/>
      <c r="I26" s="7"/>
      <c r="J26" s="10"/>
      <c r="K26" s="10"/>
      <c r="L26" s="8"/>
      <c r="M26" s="8"/>
      <c r="N26" s="8"/>
    </row>
    <row r="27" spans="1:14" ht="14.25" hidden="1">
      <c r="A27" s="10"/>
      <c r="B27" s="30"/>
      <c r="C27" s="31"/>
      <c r="D27" s="23"/>
      <c r="E27" s="11"/>
      <c r="F27" s="11"/>
      <c r="G27" s="11"/>
      <c r="H27" s="14"/>
      <c r="I27" s="7"/>
      <c r="J27" s="10"/>
      <c r="K27" s="10"/>
      <c r="L27" s="8"/>
      <c r="M27" s="8"/>
      <c r="N27" s="8"/>
    </row>
    <row r="28" spans="1:14" ht="14.25" hidden="1">
      <c r="A28" s="10"/>
      <c r="B28" s="30" t="s">
        <v>35</v>
      </c>
      <c r="C28" s="31">
        <f>CT*G$37</f>
        <v>1E-09</v>
      </c>
      <c r="D28" s="23" t="s">
        <v>32</v>
      </c>
      <c r="E28" s="11"/>
      <c r="F28" s="11"/>
      <c r="G28" s="7"/>
      <c r="H28" s="7"/>
      <c r="I28" s="7"/>
      <c r="J28" s="10"/>
      <c r="K28" s="10"/>
      <c r="L28" s="8"/>
      <c r="M28" s="8"/>
      <c r="N28" s="8"/>
    </row>
    <row r="29" spans="1:14" ht="15" hidden="1">
      <c r="A29" s="10"/>
      <c r="B29" s="28"/>
      <c r="C29" s="29"/>
      <c r="D29" s="11"/>
      <c r="E29" s="11"/>
      <c r="F29" s="11"/>
      <c r="G29" s="25" t="s">
        <v>57</v>
      </c>
      <c r="H29" s="14">
        <f>IF(D$12="K",1,0)</f>
        <v>0</v>
      </c>
      <c r="I29" s="14" t="s">
        <v>7</v>
      </c>
      <c r="J29" s="10"/>
      <c r="K29" s="10"/>
      <c r="L29" s="8"/>
      <c r="M29" s="8"/>
      <c r="N29" s="8"/>
    </row>
    <row r="30" spans="1:14" ht="15" hidden="1">
      <c r="A30" s="10"/>
      <c r="B30" s="28"/>
      <c r="C30" s="32" t="s">
        <v>2</v>
      </c>
      <c r="D30" s="11"/>
      <c r="E30" s="11"/>
      <c r="F30" s="11"/>
      <c r="G30" s="33">
        <f>H29*1000+H30*1000000</f>
        <v>1000000</v>
      </c>
      <c r="H30" s="14">
        <f>IF(D$12="Meg",1,0)</f>
        <v>1</v>
      </c>
      <c r="I30" s="14" t="s">
        <v>5</v>
      </c>
      <c r="J30" s="10"/>
      <c r="K30" s="10"/>
      <c r="L30" s="8"/>
      <c r="M30" s="8"/>
      <c r="N30" s="8"/>
    </row>
    <row r="31" spans="1:14" ht="14.25" hidden="1">
      <c r="A31" s="11"/>
      <c r="B31" s="28"/>
      <c r="C31" s="22"/>
      <c r="D31" s="34"/>
      <c r="E31" s="11"/>
      <c r="F31" s="11"/>
      <c r="G31" s="34"/>
      <c r="H31" s="34"/>
      <c r="I31" s="34"/>
      <c r="J31" s="10"/>
      <c r="K31" s="10"/>
      <c r="L31" s="8"/>
      <c r="M31" s="8"/>
      <c r="N31" s="8"/>
    </row>
    <row r="32" spans="2:14" ht="14.25" hidden="1">
      <c r="B32" s="28" t="s">
        <v>36</v>
      </c>
      <c r="C32" s="22">
        <f>IF(H$47,LN(2/3)-LN(1/3),LN(0.9)-LN(0.1))</f>
        <v>0.6931471805599454</v>
      </c>
      <c r="D32" s="34" t="s">
        <v>38</v>
      </c>
      <c r="E32" s="34"/>
      <c r="F32" s="11"/>
      <c r="J32" s="10"/>
      <c r="K32" s="10"/>
      <c r="L32" s="8"/>
      <c r="M32" s="8"/>
      <c r="N32" s="8"/>
    </row>
    <row r="33" spans="2:14" ht="14.25" hidden="1">
      <c r="B33" s="28" t="s">
        <v>40</v>
      </c>
      <c r="C33" s="22">
        <f>IF(H$47,LN(2/3)-LN(1/3),LN(0.9)-LN(0.1))</f>
        <v>0.6931471805599454</v>
      </c>
      <c r="D33" s="34" t="s">
        <v>39</v>
      </c>
      <c r="E33" s="34"/>
      <c r="F33" s="7"/>
      <c r="J33" s="10"/>
      <c r="K33" s="10"/>
      <c r="L33" s="8"/>
      <c r="M33" s="8"/>
      <c r="N33" s="8"/>
    </row>
    <row r="34" spans="2:14" ht="14.25" hidden="1">
      <c r="B34" s="28"/>
      <c r="C34" s="22"/>
      <c r="D34" s="34"/>
      <c r="E34" s="34"/>
      <c r="F34" s="7"/>
      <c r="G34" s="34"/>
      <c r="H34" s="34"/>
      <c r="I34" s="34"/>
      <c r="J34" s="10"/>
      <c r="K34" s="10"/>
      <c r="L34" s="8"/>
      <c r="M34" s="8"/>
      <c r="N34" s="8"/>
    </row>
    <row r="35" spans="2:14" ht="14.25" hidden="1">
      <c r="B35" s="34"/>
      <c r="C35" s="34"/>
      <c r="D35" s="34"/>
      <c r="E35" s="34"/>
      <c r="F35" s="7"/>
      <c r="G35" s="34"/>
      <c r="H35" s="14">
        <f>IF(D$14="pF",1,0)</f>
        <v>0</v>
      </c>
      <c r="I35" s="35" t="s">
        <v>8</v>
      </c>
      <c r="J35" s="10"/>
      <c r="K35" s="10"/>
      <c r="L35" s="8"/>
      <c r="M35" s="8"/>
      <c r="N35" s="8"/>
    </row>
    <row r="36" spans="2:14" ht="15" hidden="1">
      <c r="B36" s="28"/>
      <c r="C36" s="36"/>
      <c r="D36" s="34"/>
      <c r="E36" s="34"/>
      <c r="F36" s="34"/>
      <c r="G36" s="25" t="s">
        <v>60</v>
      </c>
      <c r="H36" s="14">
        <f>IF(D$14="nF",1,0)</f>
        <v>1</v>
      </c>
      <c r="I36" s="35" t="s">
        <v>18</v>
      </c>
      <c r="J36" s="10"/>
      <c r="K36" s="10"/>
      <c r="L36" s="8"/>
      <c r="M36" s="8"/>
      <c r="N36" s="8"/>
    </row>
    <row r="37" spans="2:14" ht="14.25" hidden="1">
      <c r="B37" s="28" t="s">
        <v>36</v>
      </c>
      <c r="C37" s="36">
        <f>C32*ResA*CapT+G62</f>
        <v>0.0006944471805599454</v>
      </c>
      <c r="D37" s="34" t="s">
        <v>42</v>
      </c>
      <c r="E37" s="34"/>
      <c r="F37" s="34"/>
      <c r="G37" s="33">
        <f>H35*0.000000000001+H36*0.000000001+H37*0.000001</f>
        <v>1E-09</v>
      </c>
      <c r="H37" s="14">
        <f>IF(D$14="uF",1,0)</f>
        <v>0</v>
      </c>
      <c r="I37" s="35" t="s">
        <v>9</v>
      </c>
      <c r="J37" s="10"/>
      <c r="K37" s="10"/>
      <c r="L37" s="8"/>
      <c r="M37" s="8"/>
      <c r="N37" s="8"/>
    </row>
    <row r="38" spans="2:14" ht="14.25" hidden="1">
      <c r="B38" s="28" t="s">
        <v>40</v>
      </c>
      <c r="C38" s="36">
        <f>C33*ResA*CapT+G62</f>
        <v>0.0006944471805599454</v>
      </c>
      <c r="D38" s="34" t="s">
        <v>43</v>
      </c>
      <c r="E38" s="34"/>
      <c r="F38" s="34"/>
      <c r="G38" s="34"/>
      <c r="H38" s="34"/>
      <c r="I38" s="34"/>
      <c r="J38" s="10"/>
      <c r="K38" s="10"/>
      <c r="L38" s="8"/>
      <c r="M38" s="8"/>
      <c r="N38" s="8"/>
    </row>
    <row r="39" spans="2:14" ht="14.25" hidden="1">
      <c r="B39" s="28"/>
      <c r="C39" s="36"/>
      <c r="D39" s="34"/>
      <c r="E39" s="34"/>
      <c r="F39" s="34"/>
      <c r="G39" s="34"/>
      <c r="H39" s="35">
        <f>IF(C15="1",1,0)</f>
        <v>0</v>
      </c>
      <c r="I39" s="35">
        <v>1</v>
      </c>
      <c r="J39" s="10"/>
      <c r="K39" s="10"/>
      <c r="L39" s="8"/>
      <c r="M39" s="8"/>
      <c r="N39" s="8"/>
    </row>
    <row r="40" spans="2:14" ht="14.25" hidden="1">
      <c r="B40" s="34"/>
      <c r="C40" s="34"/>
      <c r="D40" s="34"/>
      <c r="E40" s="34"/>
      <c r="F40" s="34"/>
      <c r="G40" s="34"/>
      <c r="H40" s="35">
        <f>IF(C15="10",10,0)</f>
        <v>0</v>
      </c>
      <c r="I40" s="35">
        <v>10</v>
      </c>
      <c r="J40" s="10"/>
      <c r="K40" s="10"/>
      <c r="L40" s="8"/>
      <c r="M40" s="8"/>
      <c r="N40" s="8"/>
    </row>
    <row r="41" spans="2:14" ht="14.25" hidden="1">
      <c r="B41" s="28"/>
      <c r="C41" s="36"/>
      <c r="D41" s="34"/>
      <c r="E41" s="34"/>
      <c r="F41" s="34"/>
      <c r="G41" s="34"/>
      <c r="H41" s="35">
        <f>IF(C15="100",100,0)</f>
        <v>0</v>
      </c>
      <c r="I41" s="35">
        <v>100</v>
      </c>
      <c r="J41" s="10"/>
      <c r="K41" s="10"/>
      <c r="L41" s="8"/>
      <c r="M41" s="8"/>
      <c r="N41" s="8"/>
    </row>
    <row r="42" spans="2:14" ht="14.25" hidden="1">
      <c r="B42" s="28" t="s">
        <v>91</v>
      </c>
      <c r="C42" s="36">
        <f>C37+C38</f>
        <v>0.0013888943611198908</v>
      </c>
      <c r="D42" s="34" t="s">
        <v>46</v>
      </c>
      <c r="E42" s="34"/>
      <c r="F42" s="34"/>
      <c r="G42" s="34"/>
      <c r="H42" s="35">
        <f>IF(C15="1K",1000,0)</f>
        <v>0</v>
      </c>
      <c r="I42" s="35" t="s">
        <v>14</v>
      </c>
      <c r="J42" s="10"/>
      <c r="K42" s="10"/>
      <c r="L42" s="8"/>
      <c r="M42" s="8"/>
      <c r="N42" s="8"/>
    </row>
    <row r="43" spans="2:14" ht="14.25" hidden="1">
      <c r="B43" s="28"/>
      <c r="C43" s="36"/>
      <c r="D43" s="34"/>
      <c r="E43" s="34"/>
      <c r="F43" s="34"/>
      <c r="G43" s="34"/>
      <c r="H43" s="35">
        <f>IF(C15="10K",10000,0)</f>
        <v>0</v>
      </c>
      <c r="I43" s="35" t="s">
        <v>15</v>
      </c>
      <c r="J43" s="10"/>
      <c r="K43" s="10"/>
      <c r="L43" s="8"/>
      <c r="M43" s="8"/>
      <c r="N43" s="8"/>
    </row>
    <row r="44" spans="2:14" ht="14.25" hidden="1">
      <c r="B44" s="28"/>
      <c r="C44" s="36"/>
      <c r="D44" s="37"/>
      <c r="E44" s="34"/>
      <c r="F44" s="34"/>
      <c r="J44" s="10"/>
      <c r="K44" s="10"/>
      <c r="L44" s="8"/>
      <c r="M44" s="8"/>
      <c r="N44" s="8"/>
    </row>
    <row r="45" spans="2:14" ht="14.25" hidden="1">
      <c r="B45" s="34"/>
      <c r="C45" s="35"/>
      <c r="D45" s="34"/>
      <c r="E45" s="34"/>
      <c r="F45" s="34"/>
      <c r="J45" s="10"/>
      <c r="K45" s="10"/>
      <c r="L45" s="8"/>
      <c r="M45" s="8"/>
      <c r="N45" s="8"/>
    </row>
    <row r="46" spans="2:14" ht="15" hidden="1">
      <c r="B46" s="26" t="s">
        <v>49</v>
      </c>
      <c r="C46" s="35"/>
      <c r="D46" s="34"/>
      <c r="E46" s="34"/>
      <c r="F46" s="34"/>
      <c r="G46" s="34"/>
      <c r="H46" s="34"/>
      <c r="I46" s="34"/>
      <c r="J46" s="10"/>
      <c r="K46" s="10"/>
      <c r="L46" s="8"/>
      <c r="M46" s="8"/>
      <c r="N46" s="8"/>
    </row>
    <row r="47" spans="2:14" ht="15" hidden="1">
      <c r="B47" s="28" t="s">
        <v>48</v>
      </c>
      <c r="C47" s="38">
        <f>VDD/7.5</f>
        <v>0.6666666666666666</v>
      </c>
      <c r="D47" s="34" t="s">
        <v>30</v>
      </c>
      <c r="E47" s="34"/>
      <c r="F47" s="34"/>
      <c r="G47" s="25" t="s">
        <v>106</v>
      </c>
      <c r="H47" s="14">
        <f>IF(C$8="Standard",1,0)</f>
        <v>1</v>
      </c>
      <c r="I47" s="7" t="s">
        <v>104</v>
      </c>
      <c r="J47" s="10"/>
      <c r="K47" s="10"/>
      <c r="L47" s="8"/>
      <c r="M47" s="8"/>
      <c r="N47" s="8"/>
    </row>
    <row r="48" spans="2:14" ht="14.25" hidden="1">
      <c r="B48" s="28" t="s">
        <v>50</v>
      </c>
      <c r="C48" s="38">
        <f>IF(H$58,1.4+VDD/2.25,9.3+VDD/0.4)</f>
        <v>3.6222222222222222</v>
      </c>
      <c r="D48" s="34" t="s">
        <v>30</v>
      </c>
      <c r="E48" s="34"/>
      <c r="F48" s="34"/>
      <c r="G48" s="73">
        <f>H48*0.8*C9+H47*C9/3</f>
        <v>1.6666666666666667</v>
      </c>
      <c r="H48" s="14">
        <f>IF(C$8="Low Volt",1,0)</f>
        <v>0</v>
      </c>
      <c r="I48" s="7" t="s">
        <v>105</v>
      </c>
      <c r="J48" s="10"/>
      <c r="K48" s="10"/>
      <c r="L48" s="8"/>
      <c r="M48" s="8"/>
      <c r="N48" s="8"/>
    </row>
    <row r="49" spans="2:14" ht="14.25" hidden="1">
      <c r="B49" s="28" t="s">
        <v>51</v>
      </c>
      <c r="C49" s="38">
        <v>0</v>
      </c>
      <c r="D49" s="34" t="s">
        <v>30</v>
      </c>
      <c r="E49" s="34"/>
      <c r="F49" s="34"/>
      <c r="G49" s="34"/>
      <c r="H49" s="14">
        <f>IF(D$18="usec",1,0)</f>
        <v>0</v>
      </c>
      <c r="I49" s="35" t="s">
        <v>90</v>
      </c>
      <c r="J49" s="10"/>
      <c r="K49" s="10"/>
      <c r="L49" s="8"/>
      <c r="M49" s="8"/>
      <c r="N49" s="8"/>
    </row>
    <row r="50" spans="2:14" ht="14.25" hidden="1">
      <c r="B50" s="28" t="s">
        <v>52</v>
      </c>
      <c r="C50" s="38">
        <f>1000000*DeltaV*CapT/C61</f>
        <v>1.1999952720110427</v>
      </c>
      <c r="D50" s="34" t="s">
        <v>30</v>
      </c>
      <c r="E50" s="34"/>
      <c r="F50" s="34"/>
      <c r="G50" s="34"/>
      <c r="H50" s="14">
        <f>IF(D$18="msec",1,0)</f>
        <v>1</v>
      </c>
      <c r="I50" s="35" t="s">
        <v>25</v>
      </c>
      <c r="J50" s="10"/>
      <c r="K50" s="10"/>
      <c r="L50" s="8"/>
      <c r="M50" s="8"/>
      <c r="N50" s="8"/>
    </row>
    <row r="51" spans="1:14" ht="14.25" hidden="1">
      <c r="A51" s="10"/>
      <c r="B51" s="28" t="s">
        <v>53</v>
      </c>
      <c r="C51" s="38">
        <f>C47+C48+C49</f>
        <v>4.288888888888889</v>
      </c>
      <c r="D51" s="34" t="s">
        <v>30</v>
      </c>
      <c r="E51" s="34"/>
      <c r="F51" s="34"/>
      <c r="G51" s="11"/>
      <c r="H51" s="14">
        <f>IF(D$18="sec",1,0)</f>
        <v>0</v>
      </c>
      <c r="I51" s="39" t="s">
        <v>22</v>
      </c>
      <c r="J51" s="10"/>
      <c r="K51" s="10"/>
      <c r="L51" s="8"/>
      <c r="M51" s="8"/>
      <c r="N51" s="8"/>
    </row>
    <row r="52" spans="1:14" ht="15" hidden="1">
      <c r="A52" s="10"/>
      <c r="B52" s="28" t="s">
        <v>54</v>
      </c>
      <c r="C52" s="40">
        <f>C47+C48+C50</f>
        <v>5.488884160899931</v>
      </c>
      <c r="D52" s="34" t="s">
        <v>30</v>
      </c>
      <c r="E52" s="34"/>
      <c r="F52" s="34"/>
      <c r="G52" s="25" t="s">
        <v>62</v>
      </c>
      <c r="H52" s="14">
        <f>IF(D$18="min",1,0)</f>
        <v>0</v>
      </c>
      <c r="I52" s="39" t="s">
        <v>26</v>
      </c>
      <c r="J52" s="10"/>
      <c r="K52" s="10"/>
      <c r="L52" s="8"/>
      <c r="M52" s="8"/>
      <c r="N52" s="8"/>
    </row>
    <row r="53" spans="1:14" ht="14.25" hidden="1">
      <c r="A53" s="10"/>
      <c r="B53" s="34"/>
      <c r="C53" s="34"/>
      <c r="D53" s="34"/>
      <c r="E53" s="34"/>
      <c r="F53" s="11"/>
      <c r="G53" s="41">
        <f>0.000001*H49+0.001*H50+H51+60*H52+3600*H53</f>
        <v>0.001</v>
      </c>
      <c r="H53" s="14">
        <f>IF(D$18="hours",1,0)</f>
        <v>0</v>
      </c>
      <c r="I53" s="39" t="s">
        <v>27</v>
      </c>
      <c r="J53" s="10"/>
      <c r="K53" s="10"/>
      <c r="L53" s="8"/>
      <c r="M53" s="8"/>
      <c r="N53" s="8"/>
    </row>
    <row r="54" spans="1:14" ht="15" hidden="1">
      <c r="A54" s="10"/>
      <c r="B54" s="11"/>
      <c r="C54" s="32" t="s">
        <v>3</v>
      </c>
      <c r="D54" s="11"/>
      <c r="E54" s="34"/>
      <c r="F54" s="11"/>
      <c r="G54" s="34"/>
      <c r="H54" s="34"/>
      <c r="I54" s="34"/>
      <c r="J54" s="10"/>
      <c r="K54" s="10"/>
      <c r="L54" s="8"/>
      <c r="M54" s="8"/>
      <c r="N54" s="8"/>
    </row>
    <row r="55" spans="1:14" ht="14.25" hidden="1">
      <c r="A55" s="10"/>
      <c r="B55" s="28" t="s">
        <v>36</v>
      </c>
      <c r="C55" s="22">
        <f>IF(H$47,LN(2/3)-LN(1/3),LN(0.9)-LN(0.1))</f>
        <v>0.6931471805599454</v>
      </c>
      <c r="D55" s="34" t="s">
        <v>38</v>
      </c>
      <c r="E55" s="11"/>
      <c r="F55" s="11"/>
      <c r="G55" s="34"/>
      <c r="H55" s="34"/>
      <c r="I55" s="34"/>
      <c r="J55" s="10"/>
      <c r="K55" s="10"/>
      <c r="L55" s="8"/>
      <c r="M55" s="8"/>
      <c r="N55" s="8"/>
    </row>
    <row r="56" spans="1:14" ht="14.25" hidden="1">
      <c r="A56" s="10"/>
      <c r="B56" s="28" t="s">
        <v>40</v>
      </c>
      <c r="C56" s="22">
        <f>IF(H$47,LN(2/3)-LN(1/3),LN(0.9)-LN(0.1))</f>
        <v>0.6931471805599454</v>
      </c>
      <c r="D56" s="34" t="s">
        <v>39</v>
      </c>
      <c r="E56" s="11"/>
      <c r="F56" s="11"/>
      <c r="G56" s="11"/>
      <c r="H56" s="11"/>
      <c r="I56" s="11"/>
      <c r="J56" s="10"/>
      <c r="K56" s="10"/>
      <c r="L56" s="8"/>
      <c r="M56" s="8"/>
      <c r="N56" s="8"/>
    </row>
    <row r="57" spans="1:14" ht="14.25" hidden="1">
      <c r="A57" s="10"/>
      <c r="B57" s="11"/>
      <c r="C57" s="11"/>
      <c r="D57" s="11"/>
      <c r="E57" s="11"/>
      <c r="F57" s="11"/>
      <c r="G57" s="11"/>
      <c r="H57" s="11"/>
      <c r="I57" s="11"/>
      <c r="J57" s="10"/>
      <c r="K57" s="10"/>
      <c r="L57" s="8"/>
      <c r="M57" s="8"/>
      <c r="N57" s="8"/>
    </row>
    <row r="58" spans="1:11" ht="15" hidden="1">
      <c r="A58" s="10"/>
      <c r="B58" s="28" t="s">
        <v>36</v>
      </c>
      <c r="C58" s="36">
        <f>C55*ResA*CapT+G62</f>
        <v>0.0006944471805599454</v>
      </c>
      <c r="D58" s="34" t="s">
        <v>42</v>
      </c>
      <c r="E58" s="11"/>
      <c r="F58" s="11"/>
      <c r="G58" s="26" t="s">
        <v>101</v>
      </c>
      <c r="H58" s="14">
        <f>IF(C$7="Micro",1,0)</f>
        <v>1</v>
      </c>
      <c r="I58" s="7" t="s">
        <v>102</v>
      </c>
      <c r="J58" s="10"/>
      <c r="K58" s="10"/>
    </row>
    <row r="59" spans="1:11" ht="14.25" hidden="1">
      <c r="A59" s="10"/>
      <c r="B59" s="28" t="s">
        <v>40</v>
      </c>
      <c r="C59" s="36">
        <f>C56*ResA*CapT+G62</f>
        <v>0.0006944471805599454</v>
      </c>
      <c r="D59" s="34" t="s">
        <v>43</v>
      </c>
      <c r="E59" s="11"/>
      <c r="F59" s="11"/>
      <c r="G59" s="11"/>
      <c r="H59" s="14">
        <f>IF(C$7="Low",1,0)</f>
        <v>0</v>
      </c>
      <c r="I59" s="7" t="s">
        <v>103</v>
      </c>
      <c r="J59" s="10"/>
      <c r="K59" s="10"/>
    </row>
    <row r="60" spans="1:11" ht="14.25" hidden="1">
      <c r="A60" s="10"/>
      <c r="B60" s="11"/>
      <c r="C60" s="11"/>
      <c r="D60" s="11"/>
      <c r="E60" s="11"/>
      <c r="F60" s="11"/>
      <c r="G60" s="11"/>
      <c r="H60" s="11"/>
      <c r="I60" s="11"/>
      <c r="J60" s="10"/>
      <c r="K60" s="10"/>
    </row>
    <row r="61" spans="1:11" ht="15" hidden="1">
      <c r="A61" s="10"/>
      <c r="B61" s="28" t="s">
        <v>63</v>
      </c>
      <c r="C61" s="36">
        <f>C58+C59</f>
        <v>0.0013888943611198908</v>
      </c>
      <c r="D61" s="34" t="s">
        <v>46</v>
      </c>
      <c r="E61" s="11"/>
      <c r="F61" s="11"/>
      <c r="G61" s="25" t="s">
        <v>107</v>
      </c>
      <c r="J61" s="10"/>
      <c r="K61" s="10"/>
    </row>
    <row r="62" spans="1:11" ht="14.25" hidden="1">
      <c r="A62" s="10"/>
      <c r="B62" s="28" t="s">
        <v>63</v>
      </c>
      <c r="C62" s="36">
        <f>C61/G53</f>
        <v>1.3888943611198907</v>
      </c>
      <c r="D62" s="34" t="s">
        <v>92</v>
      </c>
      <c r="E62" s="11"/>
      <c r="F62" s="11"/>
      <c r="G62" s="73">
        <f>H58*0.0000013+H59*0.0000003</f>
        <v>1.3E-06</v>
      </c>
      <c r="J62" s="10"/>
      <c r="K62" s="10"/>
    </row>
    <row r="63" spans="1:11" ht="14.25" hidden="1">
      <c r="A63" s="10"/>
      <c r="B63" s="28"/>
      <c r="C63" s="36"/>
      <c r="D63" s="37"/>
      <c r="E63" s="11"/>
      <c r="F63" s="11"/>
      <c r="G63" s="11"/>
      <c r="H63" s="11"/>
      <c r="I63" s="11"/>
      <c r="J63" s="10"/>
      <c r="K63" s="10"/>
    </row>
    <row r="64" spans="1:11" ht="14.25" hidden="1">
      <c r="A64" s="10"/>
      <c r="B64" s="28" t="s">
        <v>64</v>
      </c>
      <c r="C64" s="42">
        <f>1/C61</f>
        <v>719.9971632066256</v>
      </c>
      <c r="D64" s="11" t="s">
        <v>65</v>
      </c>
      <c r="E64" s="11"/>
      <c r="F64" s="11"/>
      <c r="G64" s="11"/>
      <c r="H64" s="11"/>
      <c r="I64" s="11"/>
      <c r="J64" s="10"/>
      <c r="K64" s="10"/>
    </row>
    <row r="65" spans="1:11" ht="14.25" hidden="1">
      <c r="A65" s="10"/>
      <c r="B65" s="28" t="s">
        <v>66</v>
      </c>
      <c r="C65" s="43">
        <f>50</f>
        <v>50</v>
      </c>
      <c r="D65" s="11" t="s">
        <v>67</v>
      </c>
      <c r="E65" s="11"/>
      <c r="F65" s="11"/>
      <c r="G65" s="11"/>
      <c r="H65" s="11"/>
      <c r="I65" s="11"/>
      <c r="J65" s="10"/>
      <c r="K65" s="10"/>
    </row>
    <row r="66" spans="1:11" ht="14.2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</sheetData>
  <sheetProtection password="8441" sheet="1" objects="1" scenarios="1"/>
  <mergeCells count="3">
    <mergeCell ref="B5:C5"/>
    <mergeCell ref="B17:C17"/>
    <mergeCell ref="B11:C11"/>
  </mergeCells>
  <printOptions gridLines="1" headings="1" horizontalCentered="1"/>
  <pageMargins left="0.75" right="0.75" top="1" bottom="0.75" header="0.5" footer="0.5"/>
  <pageSetup horizontalDpi="300" verticalDpi="300" orientation="landscape" r:id="rId4"/>
  <headerFooter alignWithMargins="0">
    <oddFooter>&amp;LCSS/F.Bohac&amp;R&amp;F</oddFooter>
  </headerFooter>
  <rowBreaks count="2" manualBreakCount="2">
    <brk id="24" max="255" man="1"/>
    <brk id="66" max="255" man="1"/>
  </rowBreaks>
  <drawing r:id="rId3"/>
  <legacyDrawing r:id="rId2"/>
  <oleObjects>
    <oleObject progId="MSDraw" shapeId="1413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29"/>
  <sheetViews>
    <sheetView showGridLines="0" showRowColHeaders="0" zoomScale="90" zoomScaleNormal="9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18.625" style="0" customWidth="1"/>
  </cols>
  <sheetData>
    <row r="1" spans="3:12" ht="28.5" customHeight="1">
      <c r="C1" s="27" t="s">
        <v>0</v>
      </c>
      <c r="L1" s="4">
        <v>40150</v>
      </c>
    </row>
    <row r="2" spans="1:3" ht="22.5" customHeight="1">
      <c r="A2" s="2"/>
      <c r="C2" s="24" t="s">
        <v>1</v>
      </c>
    </row>
    <row r="3" ht="15.75">
      <c r="C3" s="24" t="s">
        <v>89</v>
      </c>
    </row>
    <row r="4" ht="15.75">
      <c r="A4" s="52" t="s">
        <v>83</v>
      </c>
    </row>
    <row r="5" spans="1:2" ht="15">
      <c r="A5" s="76" t="s">
        <v>113</v>
      </c>
      <c r="B5" t="s">
        <v>72</v>
      </c>
    </row>
    <row r="6" spans="1:2" ht="15">
      <c r="A6" s="77" t="s">
        <v>114</v>
      </c>
      <c r="B6" t="s">
        <v>73</v>
      </c>
    </row>
    <row r="7" spans="1:2" ht="15">
      <c r="A7" s="78" t="s">
        <v>115</v>
      </c>
      <c r="B7" t="s">
        <v>116</v>
      </c>
    </row>
    <row r="9" ht="15.75">
      <c r="A9" s="52" t="s">
        <v>84</v>
      </c>
    </row>
    <row r="10" ht="14.25">
      <c r="B10" t="s">
        <v>80</v>
      </c>
    </row>
    <row r="11" ht="14.25">
      <c r="B11" t="s">
        <v>109</v>
      </c>
    </row>
    <row r="12" ht="14.25">
      <c r="B12" t="s">
        <v>110</v>
      </c>
    </row>
    <row r="13" ht="14.25">
      <c r="B13" t="s">
        <v>111</v>
      </c>
    </row>
    <row r="14" ht="14.25">
      <c r="B14" t="s">
        <v>74</v>
      </c>
    </row>
    <row r="15" ht="14.25">
      <c r="B15" t="s">
        <v>88</v>
      </c>
    </row>
    <row r="16" ht="14.25">
      <c r="B16" t="s">
        <v>75</v>
      </c>
    </row>
    <row r="17" ht="14.25">
      <c r="B17" t="s">
        <v>76</v>
      </c>
    </row>
    <row r="18" ht="14.25">
      <c r="C18" t="s">
        <v>77</v>
      </c>
    </row>
    <row r="19" ht="14.25">
      <c r="B19" t="s">
        <v>81</v>
      </c>
    </row>
    <row r="20" ht="14.25">
      <c r="B20" t="s">
        <v>78</v>
      </c>
    </row>
    <row r="22" ht="15.75">
      <c r="A22" s="52" t="s">
        <v>71</v>
      </c>
    </row>
    <row r="23" ht="14.25">
      <c r="B23" t="s">
        <v>82</v>
      </c>
    </row>
    <row r="24" ht="14.25">
      <c r="B24" t="s">
        <v>79</v>
      </c>
    </row>
    <row r="25" ht="14.25">
      <c r="B25" t="s">
        <v>85</v>
      </c>
    </row>
    <row r="26" ht="14.25">
      <c r="B26" t="s">
        <v>86</v>
      </c>
    </row>
    <row r="27" ht="14.25">
      <c r="B27" t="s">
        <v>87</v>
      </c>
    </row>
    <row r="28" ht="14.25">
      <c r="B28" t="s">
        <v>122</v>
      </c>
    </row>
    <row r="29" ht="14.25">
      <c r="B29" t="s">
        <v>123</v>
      </c>
    </row>
  </sheetData>
  <sheetProtection password="8441" sheet="1" objects="1" scenarios="1"/>
  <printOptions/>
  <pageMargins left="0.75" right="0.75" top="1" bottom="1" header="0.5" footer="0.5"/>
  <pageSetup horizontalDpi="600" verticalDpi="600" orientation="landscape" scale="95" r:id="rId3"/>
  <rowBreaks count="1" manualBreakCount="1">
    <brk id="29" max="255" man="1"/>
  </rowBreaks>
  <colBreaks count="1" manualBreakCount="1">
    <brk id="12" max="65535" man="1"/>
  </colBreaks>
  <legacyDrawing r:id="rId2"/>
  <oleObjects>
    <oleObject progId="MSDraw" shapeId="2004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8"/>
  <sheetViews>
    <sheetView showGridLines="0" showRowColHeaders="0" zoomScale="90" zoomScaleNormal="9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18.625" style="0" customWidth="1"/>
  </cols>
  <sheetData>
    <row r="1" spans="3:12" ht="28.5" customHeight="1">
      <c r="C1" s="27" t="s">
        <v>112</v>
      </c>
      <c r="L1" s="4">
        <v>40150</v>
      </c>
    </row>
    <row r="2" spans="1:3" ht="22.5" customHeight="1">
      <c r="A2" s="2"/>
      <c r="C2" s="24" t="s">
        <v>1</v>
      </c>
    </row>
    <row r="3" ht="15.75">
      <c r="C3" s="24" t="s">
        <v>89</v>
      </c>
    </row>
    <row r="4" ht="15.75">
      <c r="A4" s="52" t="s">
        <v>83</v>
      </c>
    </row>
    <row r="5" spans="1:2" ht="15">
      <c r="A5" s="76" t="s">
        <v>113</v>
      </c>
      <c r="B5" t="s">
        <v>72</v>
      </c>
    </row>
    <row r="6" spans="1:2" ht="15">
      <c r="A6" s="77" t="s">
        <v>114</v>
      </c>
      <c r="B6" t="s">
        <v>73</v>
      </c>
    </row>
    <row r="7" spans="1:2" ht="15">
      <c r="A7" s="78" t="s">
        <v>115</v>
      </c>
      <c r="B7" t="s">
        <v>116</v>
      </c>
    </row>
    <row r="9" ht="15.75">
      <c r="A9" s="52" t="s">
        <v>84</v>
      </c>
    </row>
    <row r="10" ht="14.25">
      <c r="B10" t="s">
        <v>121</v>
      </c>
    </row>
    <row r="11" ht="14.25">
      <c r="B11" t="s">
        <v>109</v>
      </c>
    </row>
    <row r="12" ht="14.25">
      <c r="B12" t="s">
        <v>110</v>
      </c>
    </row>
    <row r="13" ht="14.25">
      <c r="B13" t="s">
        <v>111</v>
      </c>
    </row>
    <row r="14" ht="14.25">
      <c r="B14" t="s">
        <v>117</v>
      </c>
    </row>
    <row r="15" ht="14.25">
      <c r="B15" t="s">
        <v>120</v>
      </c>
    </row>
    <row r="16" ht="14.25">
      <c r="B16" t="s">
        <v>75</v>
      </c>
    </row>
    <row r="17" ht="14.25">
      <c r="B17" t="s">
        <v>76</v>
      </c>
    </row>
    <row r="18" ht="14.25">
      <c r="C18" t="s">
        <v>77</v>
      </c>
    </row>
    <row r="19" ht="14.25">
      <c r="B19" t="s">
        <v>119</v>
      </c>
    </row>
    <row r="20" ht="14.25">
      <c r="B20" t="s">
        <v>78</v>
      </c>
    </row>
    <row r="22" ht="15.75">
      <c r="A22" s="52" t="s">
        <v>71</v>
      </c>
    </row>
    <row r="23" ht="14.25">
      <c r="B23" t="s">
        <v>79</v>
      </c>
    </row>
    <row r="24" ht="14.25">
      <c r="B24" t="s">
        <v>118</v>
      </c>
    </row>
    <row r="25" ht="14.25">
      <c r="B25" t="s">
        <v>86</v>
      </c>
    </row>
    <row r="26" ht="14.25">
      <c r="B26" t="s">
        <v>87</v>
      </c>
    </row>
    <row r="27" ht="14.25">
      <c r="B27" t="s">
        <v>122</v>
      </c>
    </row>
    <row r="28" ht="14.25">
      <c r="B28" t="s">
        <v>123</v>
      </c>
    </row>
  </sheetData>
  <sheetProtection password="8441" sheet="1" objects="1" scenarios="1"/>
  <printOptions/>
  <pageMargins left="0.75" right="0.75" top="1" bottom="1" header="0.5" footer="0.5"/>
  <pageSetup horizontalDpi="600" verticalDpi="600" orientation="landscape" scale="95" r:id="rId3"/>
  <rowBreaks count="1" manualBreakCount="1">
    <brk id="28" max="255" man="1"/>
  </rowBreaks>
  <legacyDrawing r:id="rId2"/>
  <oleObjects>
    <oleObject progId="MSDraw" shapeId="168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CSS555_Calc.xls</dc:title>
  <dc:subject>CSS555 Freq &amp; Delay Calculator</dc:subject>
  <dc:creator>Frank Bohac</dc:creator>
  <cp:keywords/>
  <dc:description>
</dc:description>
  <cp:lastModifiedBy> </cp:lastModifiedBy>
  <cp:lastPrinted>2009-04-22T21:48:47Z</cp:lastPrinted>
  <dcterms:modified xsi:type="dcterms:W3CDTF">2009-12-03T23:26:21Z</dcterms:modified>
  <cp:category/>
  <cp:version/>
  <cp:contentType/>
  <cp:contentStatus/>
</cp:coreProperties>
</file>