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0" yWindow="45" windowWidth="9795" windowHeight="8685" tabRatio="625" activeTab="0"/>
  </bookViews>
  <sheets>
    <sheet name="Calc_Adj_Duty_#1" sheetId="1" r:id="rId1"/>
    <sheet name="Calc_Adj_Duty_#2" sheetId="2" r:id="rId2"/>
    <sheet name="Calc_Adj_Duty_#3" sheetId="3" r:id="rId3"/>
    <sheet name="Read_Me_#1" sheetId="4" r:id="rId4"/>
    <sheet name="Read_Me_#2" sheetId="5" r:id="rId5"/>
    <sheet name="Read_Me_#3" sheetId="6" r:id="rId6"/>
  </sheets>
  <definedNames>
    <definedName name="CapT" localSheetId="1">'Calc_Adj_Duty_#2'!$C$33</definedName>
    <definedName name="CapT" localSheetId="2">'Calc_Adj_Duty_#3'!$C$33</definedName>
    <definedName name="CapT">'Calc_Adj_Duty_#1'!$C$33</definedName>
    <definedName name="CT" localSheetId="1">'Calc_Adj_Duty_#2'!$C$15</definedName>
    <definedName name="CT" localSheetId="2">'Calc_Adj_Duty_#3'!$C$15</definedName>
    <definedName name="CT">'Calc_Adj_Duty_#1'!$C$15</definedName>
    <definedName name="DeltaV" localSheetId="1">'Calc_Adj_Duty_#2'!$G$51</definedName>
    <definedName name="DeltaV" localSheetId="2">'Calc_Adj_Duty_#3'!$G$51</definedName>
    <definedName name="DeltaV">'Calc_Adj_Duty_#1'!$G$51</definedName>
    <definedName name="Mult" localSheetId="1">'Calc_Adj_Duty_#2'!$G$48</definedName>
    <definedName name="Mult" localSheetId="2">'Calc_Adj_Duty_#3'!$G$48</definedName>
    <definedName name="Mult">'Calc_Adj_Duty_#1'!$G$48</definedName>
    <definedName name="RA" localSheetId="1">'Calc_Adj_Duty_#2'!$C$12</definedName>
    <definedName name="RA" localSheetId="2">'Calc_Adj_Duty_#3'!$C$12</definedName>
    <definedName name="RA">'Calc_Adj_Duty_#1'!$C$12</definedName>
    <definedName name="RB" localSheetId="1">'Calc_Adj_Duty_#2'!$C$13</definedName>
    <definedName name="RB" localSheetId="2">'Calc_Adj_Duty_#3'!$C$13</definedName>
    <definedName name="RB">'Calc_Adj_Duty_#1'!$C$13</definedName>
    <definedName name="Res_PAF" localSheetId="1">'Calc_Adj_Duty_#2'!$C$32</definedName>
    <definedName name="Res_PAF" localSheetId="2">'Calc_Adj_Duty_#3'!$C$32</definedName>
    <definedName name="Res_PAF">'Calc_Adj_Duty_#1'!$C$32</definedName>
    <definedName name="Res1">#REF!</definedName>
    <definedName name="Res2">#REF!</definedName>
    <definedName name="ResA" localSheetId="1">'Calc_Adj_Duty_#2'!$C$30</definedName>
    <definedName name="ResA" localSheetId="2">'Calc_Adj_Duty_#3'!$C$30</definedName>
    <definedName name="ResA">'Calc_Adj_Duty_#1'!$C$30</definedName>
    <definedName name="ResB" localSheetId="1">'Calc_Adj_Duty_#2'!$C$31</definedName>
    <definedName name="ResB" localSheetId="2">'Calc_Adj_Duty_#3'!$C$31</definedName>
    <definedName name="ResB">'Calc_Adj_Duty_#1'!$C$31</definedName>
    <definedName name="ResF" localSheetId="1">'Calc_Adj_Duty_#2'!$C$29</definedName>
    <definedName name="ResF" localSheetId="2">'Calc_Adj_Duty_#3'!$C$29</definedName>
    <definedName name="ResF">'Calc_Adj_Duty_#1'!$C$29</definedName>
    <definedName name="RF" localSheetId="1">'Calc_Adj_Duty_#2'!$C$14</definedName>
    <definedName name="RF" localSheetId="2">'Calc_Adj_Duty_#3'!$C$14</definedName>
    <definedName name="RF">'Calc_Adj_Duty_#1'!$C$14</definedName>
    <definedName name="Rs">#REF!</definedName>
    <definedName name="Stage">#REF!</definedName>
    <definedName name="VDD" localSheetId="1">'Calc_Adj_Duty_#2'!$C$9</definedName>
    <definedName name="VDD" localSheetId="2">'Calc_Adj_Duty_#3'!$C$9</definedName>
    <definedName name="VDD">'Calc_Adj_Duty_#1'!$C$9</definedName>
    <definedName name="VOC" localSheetId="1">'Calc_Adj_Duty_#2'!$C$34</definedName>
    <definedName name="VOC" localSheetId="2">'Calc_Adj_Duty_#3'!$C$34</definedName>
    <definedName name="VOC">'Calc_Adj_Duty_#1'!$C$34</definedName>
    <definedName name="VPP1">#REF!</definedName>
    <definedName name="VPP2">#REF!</definedName>
    <definedName name="XXX" localSheetId="1">'Calc_Adj_Duty_#2'!#REF!</definedName>
    <definedName name="XXX" localSheetId="2">'Calc_Adj_Duty_#3'!#REF!</definedName>
    <definedName name="XXX">'Calc_Adj_Duty_#1'!#REF!</definedName>
  </definedNames>
  <calcPr fullCalcOnLoad="1"/>
</workbook>
</file>

<file path=xl/sharedStrings.xml><?xml version="1.0" encoding="utf-8"?>
<sst xmlns="http://schemas.openxmlformats.org/spreadsheetml/2006/main" count="473" uniqueCount="136">
  <si>
    <t>Astable</t>
  </si>
  <si>
    <t>Timing Components</t>
  </si>
  <si>
    <t>Meg</t>
  </si>
  <si>
    <t>Units</t>
  </si>
  <si>
    <t>K</t>
  </si>
  <si>
    <t>pF</t>
  </si>
  <si>
    <t>uF</t>
  </si>
  <si>
    <t>V</t>
  </si>
  <si>
    <t xml:space="preserve">Supply Voltage = </t>
  </si>
  <si>
    <t xml:space="preserve">Operating Mode = </t>
  </si>
  <si>
    <t xml:space="preserve">Multiplier = </t>
  </si>
  <si>
    <t>1K</t>
  </si>
  <si>
    <t>10K</t>
  </si>
  <si>
    <t>100K</t>
  </si>
  <si>
    <t>1M</t>
  </si>
  <si>
    <t>nF</t>
  </si>
  <si>
    <t>GREEN</t>
  </si>
  <si>
    <t>BLUE</t>
  </si>
  <si>
    <t>= Calculated Value</t>
  </si>
  <si>
    <t>sec</t>
  </si>
  <si>
    <t>Application Information</t>
  </si>
  <si>
    <t>Calculated Timing Values</t>
  </si>
  <si>
    <t>msec</t>
  </si>
  <si>
    <t>min</t>
  </si>
  <si>
    <t>hours</t>
  </si>
  <si>
    <t xml:space="preserve">Idle Current = </t>
  </si>
  <si>
    <t xml:space="preserve">Active Current = </t>
  </si>
  <si>
    <t>uA</t>
  </si>
  <si>
    <t>ohms</t>
  </si>
  <si>
    <t>farads</t>
  </si>
  <si>
    <t xml:space="preserve">RA = </t>
  </si>
  <si>
    <t xml:space="preserve">RB = </t>
  </si>
  <si>
    <t xml:space="preserve">CT = </t>
  </si>
  <si>
    <t>Tau, (Vhigh to Vlow)</t>
  </si>
  <si>
    <t xml:space="preserve">Discharge Time = </t>
  </si>
  <si>
    <t>sec, (Vlow to Vhigh)</t>
  </si>
  <si>
    <t>sec, (Vhigh to Vlow)</t>
  </si>
  <si>
    <t>sec, (Vlow to Vhigh to Vlow)</t>
  </si>
  <si>
    <t xml:space="preserve">Rdiv = </t>
  </si>
  <si>
    <t>Current</t>
  </si>
  <si>
    <t xml:space="preserve">Ibias = </t>
  </si>
  <si>
    <t xml:space="preserve">RA_0 = </t>
  </si>
  <si>
    <t xml:space="preserve">RA_dyn = </t>
  </si>
  <si>
    <t xml:space="preserve">IDD0 = </t>
  </si>
  <si>
    <t xml:space="preserve">IDD = </t>
  </si>
  <si>
    <t>RA</t>
  </si>
  <si>
    <t>RB</t>
  </si>
  <si>
    <t>CapT</t>
  </si>
  <si>
    <t>Mult</t>
  </si>
  <si>
    <t>Delay Units</t>
  </si>
  <si>
    <t xml:space="preserve">Frequency = </t>
  </si>
  <si>
    <t>Hz</t>
  </si>
  <si>
    <t xml:space="preserve">Osc. Duty Cycle = </t>
  </si>
  <si>
    <t>%</t>
  </si>
  <si>
    <t xml:space="preserve">Output Period = </t>
  </si>
  <si>
    <t>= Input Value</t>
  </si>
  <si>
    <t>Notes:</t>
  </si>
  <si>
    <t>Green boxes indicate parameters that can be changed to match your application.</t>
  </si>
  <si>
    <t>Blue boxes are calculated parameters and are updated automatically.</t>
  </si>
  <si>
    <t>Select the units for timing capacitor CT (uF, nF or pF)</t>
  </si>
  <si>
    <t>Enter the value for CT.  It is typically greater than 100pF for good timing accuracy and as small as possible for low cost.</t>
  </si>
  <si>
    <t>Select the units for the output period (msec, sec, min or hours)</t>
  </si>
  <si>
    <t>It is a good design practice to limit the peak discharge current by selecting a value of RB greater than 1K.</t>
  </si>
  <si>
    <t>Color Code:</t>
  </si>
  <si>
    <t>Calculation Steps:</t>
  </si>
  <si>
    <t>The value of the timing capacitor (CT) does not include stray capacitance associated with the package or the PCB.</t>
  </si>
  <si>
    <t>CustomSiliconSolutions.com</t>
  </si>
  <si>
    <t>usec</t>
  </si>
  <si>
    <t>RF</t>
  </si>
  <si>
    <t xml:space="preserve">RF = </t>
  </si>
  <si>
    <t xml:space="preserve">Output Frequency = </t>
  </si>
  <si>
    <t xml:space="preserve">Output Duty Cycle = </t>
  </si>
  <si>
    <t xml:space="preserve">Osc. PeriodH = </t>
  </si>
  <si>
    <t xml:space="preserve">Charge TimeH = </t>
  </si>
  <si>
    <t>Tau, (Vlow to Vhigh,TOUT=1)</t>
  </si>
  <si>
    <t xml:space="preserve">Charge TimeL = </t>
  </si>
  <si>
    <t>Tau, (Vlow to Vhigh,TOUT=0)</t>
  </si>
  <si>
    <t xml:space="preserve">RA || RF = </t>
  </si>
  <si>
    <t>Standard</t>
  </si>
  <si>
    <t xml:space="preserve">Trip Levels = </t>
  </si>
  <si>
    <t xml:space="preserve">VOC = </t>
  </si>
  <si>
    <t xml:space="preserve">Osc. PeriodL = </t>
  </si>
  <si>
    <t>100</t>
  </si>
  <si>
    <t xml:space="preserve">Output Low Time = </t>
  </si>
  <si>
    <t xml:space="preserve">Output High Time = </t>
  </si>
  <si>
    <t>Calculated Supply Current</t>
  </si>
  <si>
    <t>uA (RESET = 0)</t>
  </si>
  <si>
    <t>uA (RESET = 1)</t>
  </si>
  <si>
    <t>CSS555C Timer Calculator</t>
  </si>
  <si>
    <t>Select the units for timing resistors RA, RB and RF (Meg or K ohms)</t>
  </si>
  <si>
    <t>Note: If using the CSS555C, include internal 100pF capacitor.</t>
  </si>
  <si>
    <t>Select the Multiplier value. (10, 100... 1M).  Choose this value to reduce the value (and cost) of the timing capacitor.</t>
  </si>
  <si>
    <t>To reduce timing errors due to leakage current, keep the value of RA, RB and RF less than 10Meg ohms</t>
  </si>
  <si>
    <t>The power calculations include the charging current associated with RA and RF.</t>
  </si>
  <si>
    <t>Enter the values for RA, RB and RF.  RF must be &gt; 2 x RA.  Make RB &lt;&lt; RA for wide duty cycle range.</t>
  </si>
  <si>
    <t>For a single, delayed pulse, use one short trigger pulse.  (Generate one clock cycle.)</t>
  </si>
  <si>
    <t>For continuous clock, hold TRIGGER at zero.</t>
  </si>
  <si>
    <t>Adjustable Duty Cycle - Circuit #1 (add RF)</t>
  </si>
  <si>
    <t>Adjustable Duty Cycle - Circuit #2 (add RF &amp; D1)</t>
  </si>
  <si>
    <t xml:space="preserve">RF correction for D1 = </t>
  </si>
  <si>
    <t>Enter the values for RA, RB and RF.  Make RB &lt;&lt; RA for wide duty cycle range.</t>
  </si>
  <si>
    <t>Adjustable Duty Cycle Circuit #1 (add feedback resistor RF)</t>
  </si>
  <si>
    <t>Adjustable Duty Cycle Circuit #2 (add feedback resistor RF and Diode D1)</t>
  </si>
  <si>
    <t>Duty cycle range ~ 20% to 50%</t>
  </si>
  <si>
    <t>Adjustable Duty Cycle - Circuit #3 (add RF &amp; MP1)</t>
  </si>
  <si>
    <t>Adjustable Duty Cycle Circuit #3 (add feedback resistor RF and FET MP1)</t>
  </si>
  <si>
    <t>Duty cycle range ~ 50% to 99%</t>
  </si>
  <si>
    <t>Duty cycle range ~ 1% to 50%</t>
  </si>
  <si>
    <t>MP1 is a general purpose, low power Pch FET.  A bipolar PNP (2N3906) with a suitable base resistor also works well.</t>
  </si>
  <si>
    <t>Range ~ 20% to 50%</t>
  </si>
  <si>
    <t>Range ~ 1% to 50%</t>
  </si>
  <si>
    <t>Range ~ 50% to 99%</t>
  </si>
  <si>
    <t>Diode D1 should be a low power signal diode.  (Schottky diode leakage may be too high for some applications.)</t>
  </si>
  <si>
    <r>
      <t>R</t>
    </r>
    <r>
      <rPr>
        <b/>
        <vertAlign val="sub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= </t>
    </r>
  </si>
  <si>
    <r>
      <t>R</t>
    </r>
    <r>
      <rPr>
        <b/>
        <vertAlign val="sub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= </t>
    </r>
  </si>
  <si>
    <r>
      <t>R</t>
    </r>
    <r>
      <rPr>
        <b/>
        <vertAlign val="sub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= </t>
    </r>
  </si>
  <si>
    <r>
      <t>C</t>
    </r>
    <r>
      <rPr>
        <b/>
        <vertAlign val="subscript"/>
        <sz val="11"/>
        <rFont val="Arial"/>
        <family val="2"/>
      </rPr>
      <t>T</t>
    </r>
    <r>
      <rPr>
        <b/>
        <sz val="11"/>
        <rFont val="Arial"/>
        <family val="2"/>
      </rPr>
      <t xml:space="preserve"> = </t>
    </r>
  </si>
  <si>
    <t xml:space="preserve">Power Setting = </t>
  </si>
  <si>
    <t>Delta_V</t>
  </si>
  <si>
    <t>Power</t>
  </si>
  <si>
    <t>Micro</t>
  </si>
  <si>
    <t>Low</t>
  </si>
  <si>
    <t>Comp Dly</t>
  </si>
  <si>
    <t>= Locked Value</t>
  </si>
  <si>
    <t>WHITE</t>
  </si>
  <si>
    <t>Enter the Power Setting, Micro or Low, using the drop down menu</t>
  </si>
  <si>
    <t>Enter the supply voltage, 1.8V to 5.5V (for power calculation)</t>
  </si>
  <si>
    <t>White boxes are values that can not be changed.</t>
  </si>
  <si>
    <t>G</t>
  </si>
  <si>
    <t>B</t>
  </si>
  <si>
    <t>W</t>
  </si>
  <si>
    <t>Operating mode = Astable (Fixed)</t>
  </si>
  <si>
    <t>Trip Levels = Standard (1/3, 2/3) (Fixed)</t>
  </si>
  <si>
    <t>Low Volt</t>
  </si>
  <si>
    <t>Propagation delay added for each comparator transition.  (1.3usec at Micro power, 300ns at Low power)</t>
  </si>
  <si>
    <t>Impedance of Discharge driver added to RB during discharge.  Driver impedance = 50 / VDD^0.8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</si>
</sst>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/d/yy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"/>
    <numFmt numFmtId="174" formatCode=";;"/>
    <numFmt numFmtId="175" formatCode="0.00000000"/>
    <numFmt numFmtId="176" formatCode="0.E+00"/>
    <numFmt numFmtId="177" formatCode="0.0E+00"/>
    <numFmt numFmtId="178" formatCode="0.000E+00"/>
    <numFmt numFmtId="179" formatCode="0.0000E+00"/>
    <numFmt numFmtId="180" formatCode="#,##0.0_);\(#,##0.0\)"/>
  </numFmts>
  <fonts count="1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20"/>
      <color indexed="62"/>
      <name val="Arial"/>
      <family val="2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0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center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164" fontId="9" fillId="2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64" fontId="9" fillId="3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  <xf numFmtId="1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right"/>
      <protection hidden="1"/>
    </xf>
    <xf numFmtId="1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178" fontId="0" fillId="0" borderId="0" xfId="0" applyNumberFormat="1" applyFont="1" applyFill="1" applyAlignment="1" applyProtection="1">
      <alignment horizontal="center"/>
      <protection hidden="1"/>
    </xf>
    <xf numFmtId="1" fontId="1" fillId="0" borderId="2" xfId="0" applyNumberFormat="1" applyFont="1" applyFill="1" applyBorder="1" applyAlignment="1" applyProtection="1">
      <alignment horizontal="center"/>
      <protection hidden="1"/>
    </xf>
    <xf numFmtId="177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8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178" fontId="0" fillId="0" borderId="0" xfId="0" applyNumberFormat="1" applyFont="1" applyAlignment="1" applyProtection="1">
      <alignment horizontal="center"/>
      <protection hidden="1"/>
    </xf>
    <xf numFmtId="180" fontId="0" fillId="0" borderId="0" xfId="15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right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right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" fontId="0" fillId="0" borderId="0" xfId="0" applyNumberFormat="1" applyFont="1" applyAlignment="1" applyProtection="1">
      <alignment horizontal="left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left"/>
    </xf>
    <xf numFmtId="11" fontId="0" fillId="0" borderId="1" xfId="0" applyNumberFormat="1" applyBorder="1" applyAlignment="1" applyProtection="1">
      <alignment horizontal="center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164" fontId="9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164" fontId="0" fillId="0" borderId="1" xfId="0" applyNumberFormat="1" applyBorder="1" applyAlignment="1" applyProtection="1">
      <alignment horizontal="center"/>
      <protection hidden="1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6.emf" /><Relationship Id="rId3" Type="http://schemas.openxmlformats.org/officeDocument/2006/relationships/image" Target="../media/image18.emf" /><Relationship Id="rId4" Type="http://schemas.openxmlformats.org/officeDocument/2006/relationships/image" Target="../media/image5.emf" /><Relationship Id="rId5" Type="http://schemas.openxmlformats.org/officeDocument/2006/relationships/image" Target="../media/image11.emf" /><Relationship Id="rId6" Type="http://schemas.openxmlformats.org/officeDocument/2006/relationships/image" Target="../media/image15.emf" /><Relationship Id="rId7" Type="http://schemas.openxmlformats.org/officeDocument/2006/relationships/image" Target="../media/image24.emf" /><Relationship Id="rId8" Type="http://schemas.openxmlformats.org/officeDocument/2006/relationships/image" Target="../media/image2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4.emf" /><Relationship Id="rId3" Type="http://schemas.openxmlformats.org/officeDocument/2006/relationships/image" Target="../media/image22.emf" /><Relationship Id="rId4" Type="http://schemas.openxmlformats.org/officeDocument/2006/relationships/image" Target="../media/image13.emf" /><Relationship Id="rId5" Type="http://schemas.openxmlformats.org/officeDocument/2006/relationships/image" Target="../media/image9.emf" /><Relationship Id="rId6" Type="http://schemas.openxmlformats.org/officeDocument/2006/relationships/image" Target="../media/image20.emf" /><Relationship Id="rId7" Type="http://schemas.openxmlformats.org/officeDocument/2006/relationships/image" Target="../media/image17.emf" /><Relationship Id="rId8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7.emf" /><Relationship Id="rId3" Type="http://schemas.openxmlformats.org/officeDocument/2006/relationships/image" Target="../media/image21.emf" /><Relationship Id="rId4" Type="http://schemas.openxmlformats.org/officeDocument/2006/relationships/image" Target="../media/image19.emf" /><Relationship Id="rId5" Type="http://schemas.openxmlformats.org/officeDocument/2006/relationships/image" Target="../media/image28.emf" /><Relationship Id="rId6" Type="http://schemas.openxmlformats.org/officeDocument/2006/relationships/image" Target="../media/image23.emf" /><Relationship Id="rId7" Type="http://schemas.openxmlformats.org/officeDocument/2006/relationships/image" Target="../media/image8.emf" /><Relationship Id="rId8" Type="http://schemas.openxmlformats.org/officeDocument/2006/relationships/image" Target="../media/image2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0</xdr:rowOff>
    </xdr:from>
    <xdr:to>
      <xdr:col>4</xdr:col>
      <xdr:colOff>171450</xdr:colOff>
      <xdr:row>12</xdr:row>
      <xdr:rowOff>19050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609850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171450</xdr:colOff>
      <xdr:row>15</xdr:row>
      <xdr:rowOff>9525</xdr:rowOff>
    </xdr:to>
    <xdr:pic>
      <xdr:nvPicPr>
        <xdr:cNvPr id="2" name="Combo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329565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171450</xdr:colOff>
      <xdr:row>16</xdr:row>
      <xdr:rowOff>9525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352425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171450</xdr:colOff>
      <xdr:row>19</xdr:row>
      <xdr:rowOff>9525</xdr:rowOff>
    </xdr:to>
    <xdr:pic>
      <xdr:nvPicPr>
        <xdr:cNvPr id="4" name="Combo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419100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171450</xdr:colOff>
      <xdr:row>13</xdr:row>
      <xdr:rowOff>28575</xdr:rowOff>
    </xdr:to>
    <xdr:pic>
      <xdr:nvPicPr>
        <xdr:cNvPr id="5" name="Combo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2838450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171450</xdr:colOff>
      <xdr:row>13</xdr:row>
      <xdr:rowOff>9525</xdr:rowOff>
    </xdr:to>
    <xdr:pic>
      <xdr:nvPicPr>
        <xdr:cNvPr id="6" name="Combo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283845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171450</xdr:colOff>
      <xdr:row>14</xdr:row>
      <xdr:rowOff>9525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306705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171450</xdr:colOff>
      <xdr:row>7</xdr:row>
      <xdr:rowOff>9525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0" y="14859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5</xdr:row>
      <xdr:rowOff>219075</xdr:rowOff>
    </xdr:from>
    <xdr:to>
      <xdr:col>9</xdr:col>
      <xdr:colOff>552450</xdr:colOff>
      <xdr:row>17</xdr:row>
      <xdr:rowOff>228600</xdr:rowOff>
    </xdr:to>
    <xdr:grpSp>
      <xdr:nvGrpSpPr>
        <xdr:cNvPr id="9" name="Group 184"/>
        <xdr:cNvGrpSpPr>
          <a:grpSpLocks/>
        </xdr:cNvGrpSpPr>
      </xdr:nvGrpSpPr>
      <xdr:grpSpPr>
        <a:xfrm>
          <a:off x="4629150" y="1476375"/>
          <a:ext cx="3333750" cy="2695575"/>
          <a:chOff x="486" y="155"/>
          <a:chExt cx="350" cy="283"/>
        </a:xfrm>
        <a:solidFill>
          <a:srgbClr val="FFFFFF"/>
        </a:solidFill>
      </xdr:grpSpPr>
      <xdr:sp>
        <xdr:nvSpPr>
          <xdr:cNvPr id="10" name="AutoShape 131"/>
          <xdr:cNvSpPr>
            <a:spLocks/>
          </xdr:cNvSpPr>
        </xdr:nvSpPr>
        <xdr:spPr>
          <a:xfrm>
            <a:off x="603" y="183"/>
            <a:ext cx="98" cy="146"/>
          </a:xfrm>
          <a:prstGeom prst="rect">
            <a:avLst/>
          </a:prstGeom>
          <a:solidFill>
            <a:srgbClr val="C0C0C0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32"/>
          <xdr:cNvSpPr>
            <a:spLocks/>
          </xdr:cNvSpPr>
        </xdr:nvSpPr>
        <xdr:spPr>
          <a:xfrm>
            <a:off x="727" y="171"/>
            <a:ext cx="17" cy="1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4"/>
          <xdr:cNvSpPr>
            <a:spLocks/>
          </xdr:cNvSpPr>
        </xdr:nvSpPr>
        <xdr:spPr>
          <a:xfrm flipH="1">
            <a:off x="736" y="187"/>
            <a:ext cx="0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35"/>
          <xdr:cNvSpPr>
            <a:spLocks/>
          </xdr:cNvSpPr>
        </xdr:nvSpPr>
        <xdr:spPr>
          <a:xfrm>
            <a:off x="799" y="215"/>
            <a:ext cx="24" cy="58"/>
          </a:xfrm>
          <a:custGeom>
            <a:pathLst>
              <a:path h="330" w="205">
                <a:moveTo>
                  <a:pt x="0" y="0"/>
                </a:moveTo>
                <a:lnTo>
                  <a:pt x="205" y="0"/>
                </a:lnTo>
                <a:lnTo>
                  <a:pt x="205" y="330"/>
                </a:lnTo>
                <a:lnTo>
                  <a:pt x="15" y="33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37"/>
          <xdr:cNvSpPr>
            <a:spLocks/>
          </xdr:cNvSpPr>
        </xdr:nvSpPr>
        <xdr:spPr>
          <a:xfrm>
            <a:off x="555" y="242"/>
            <a:ext cx="4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38"/>
          <xdr:cNvSpPr>
            <a:spLocks/>
          </xdr:cNvSpPr>
        </xdr:nvSpPr>
        <xdr:spPr>
          <a:xfrm>
            <a:off x="511" y="232"/>
            <a:ext cx="3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141"/>
          <xdr:cNvSpPr>
            <a:spLocks/>
          </xdr:cNvSpPr>
        </xdr:nvSpPr>
        <xdr:spPr>
          <a:xfrm>
            <a:off x="556" y="273"/>
            <a:ext cx="4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142"/>
          <xdr:cNvSpPr>
            <a:spLocks/>
          </xdr:cNvSpPr>
        </xdr:nvSpPr>
        <xdr:spPr>
          <a:xfrm>
            <a:off x="516" y="293"/>
            <a:ext cx="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144"/>
          <xdr:cNvSpPr>
            <a:spLocks/>
          </xdr:cNvSpPr>
        </xdr:nvSpPr>
        <xdr:spPr>
          <a:xfrm>
            <a:off x="555" y="301"/>
            <a:ext cx="4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145"/>
          <xdr:cNvSpPr>
            <a:spLocks/>
          </xdr:cNvSpPr>
        </xdr:nvSpPr>
        <xdr:spPr>
          <a:xfrm rot="16200000">
            <a:off x="570" y="229"/>
            <a:ext cx="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146"/>
          <xdr:cNvSpPr>
            <a:spLocks/>
          </xdr:cNvSpPr>
        </xdr:nvSpPr>
        <xdr:spPr>
          <a:xfrm rot="16200000">
            <a:off x="567" y="225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147"/>
          <xdr:cNvSpPr>
            <a:spLocks/>
          </xdr:cNvSpPr>
        </xdr:nvSpPr>
        <xdr:spPr>
          <a:xfrm rot="16200000" flipV="1">
            <a:off x="578" y="215"/>
            <a:ext cx="0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48"/>
          <xdr:cNvSpPr>
            <a:spLocks/>
          </xdr:cNvSpPr>
        </xdr:nvSpPr>
        <xdr:spPr>
          <a:xfrm rot="5400000">
            <a:off x="578" y="229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149"/>
          <xdr:cNvSpPr>
            <a:spLocks/>
          </xdr:cNvSpPr>
        </xdr:nvSpPr>
        <xdr:spPr>
          <a:xfrm rot="16200000">
            <a:off x="724" y="320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150"/>
          <xdr:cNvSpPr>
            <a:spLocks/>
          </xdr:cNvSpPr>
        </xdr:nvSpPr>
        <xdr:spPr>
          <a:xfrm rot="16200000">
            <a:off x="724" y="310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151"/>
          <xdr:cNvSpPr>
            <a:spLocks/>
          </xdr:cNvSpPr>
        </xdr:nvSpPr>
        <xdr:spPr>
          <a:xfrm rot="16200000" flipV="1">
            <a:off x="735" y="272"/>
            <a:ext cx="0" cy="3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152"/>
          <xdr:cNvSpPr>
            <a:spLocks/>
          </xdr:cNvSpPr>
        </xdr:nvSpPr>
        <xdr:spPr>
          <a:xfrm rot="5400000" flipH="1" flipV="1">
            <a:off x="732" y="324"/>
            <a:ext cx="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153"/>
          <xdr:cNvSpPr>
            <a:spLocks/>
          </xdr:cNvSpPr>
        </xdr:nvSpPr>
        <xdr:spPr>
          <a:xfrm rot="16200000">
            <a:off x="727" y="341"/>
            <a:ext cx="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54"/>
          <xdr:cNvSpPr>
            <a:spLocks/>
          </xdr:cNvSpPr>
        </xdr:nvSpPr>
        <xdr:spPr>
          <a:xfrm rot="16200000">
            <a:off x="724" y="337"/>
            <a:ext cx="2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155"/>
          <xdr:cNvSpPr>
            <a:spLocks/>
          </xdr:cNvSpPr>
        </xdr:nvSpPr>
        <xdr:spPr>
          <a:xfrm rot="16200000" flipV="1">
            <a:off x="735" y="327"/>
            <a:ext cx="0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156"/>
          <xdr:cNvSpPr>
            <a:spLocks/>
          </xdr:cNvSpPr>
        </xdr:nvSpPr>
        <xdr:spPr>
          <a:xfrm rot="5400000">
            <a:off x="734" y="343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160"/>
          <xdr:cNvSpPr>
            <a:spLocks/>
          </xdr:cNvSpPr>
        </xdr:nvSpPr>
        <xdr:spPr>
          <a:xfrm>
            <a:off x="577" y="215"/>
            <a:ext cx="2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161"/>
          <xdr:cNvSpPr>
            <a:spLocks/>
          </xdr:cNvSpPr>
        </xdr:nvSpPr>
        <xdr:spPr>
          <a:xfrm>
            <a:off x="701" y="242"/>
            <a:ext cx="1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62"/>
          <xdr:cNvSpPr>
            <a:spLocks/>
          </xdr:cNvSpPr>
        </xdr:nvSpPr>
        <xdr:spPr>
          <a:xfrm>
            <a:off x="701" y="273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163"/>
          <xdr:cNvSpPr>
            <a:spLocks/>
          </xdr:cNvSpPr>
        </xdr:nvSpPr>
        <xdr:spPr>
          <a:xfrm>
            <a:off x="701" y="301"/>
            <a:ext cx="1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164"/>
          <xdr:cNvSpPr>
            <a:spLocks/>
          </xdr:cNvSpPr>
        </xdr:nvSpPr>
        <xdr:spPr>
          <a:xfrm>
            <a:off x="701" y="215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166"/>
          <xdr:cNvSpPr>
            <a:spLocks/>
          </xdr:cNvSpPr>
        </xdr:nvSpPr>
        <xdr:spPr>
          <a:xfrm>
            <a:off x="751" y="208"/>
            <a:ext cx="52" cy="16"/>
          </a:xfrm>
          <a:custGeom>
            <a:pathLst>
              <a:path h="120" w="455">
                <a:moveTo>
                  <a:pt x="0" y="56"/>
                </a:moveTo>
                <a:lnTo>
                  <a:pt x="72" y="56"/>
                </a:lnTo>
                <a:lnTo>
                  <a:pt x="105" y="0"/>
                </a:lnTo>
                <a:lnTo>
                  <a:pt x="152" y="117"/>
                </a:lnTo>
                <a:lnTo>
                  <a:pt x="200" y="0"/>
                </a:lnTo>
                <a:lnTo>
                  <a:pt x="254" y="120"/>
                </a:lnTo>
                <a:lnTo>
                  <a:pt x="302" y="0"/>
                </a:lnTo>
                <a:lnTo>
                  <a:pt x="353" y="117"/>
                </a:lnTo>
                <a:lnTo>
                  <a:pt x="383" y="57"/>
                </a:lnTo>
                <a:lnTo>
                  <a:pt x="455" y="57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167"/>
          <xdr:cNvSpPr>
            <a:spLocks/>
          </xdr:cNvSpPr>
        </xdr:nvSpPr>
        <xdr:spPr>
          <a:xfrm>
            <a:off x="750" y="266"/>
            <a:ext cx="52" cy="16"/>
          </a:xfrm>
          <a:custGeom>
            <a:pathLst>
              <a:path h="120" w="455">
                <a:moveTo>
                  <a:pt x="0" y="56"/>
                </a:moveTo>
                <a:lnTo>
                  <a:pt x="72" y="56"/>
                </a:lnTo>
                <a:lnTo>
                  <a:pt x="105" y="0"/>
                </a:lnTo>
                <a:lnTo>
                  <a:pt x="152" y="117"/>
                </a:lnTo>
                <a:lnTo>
                  <a:pt x="200" y="0"/>
                </a:lnTo>
                <a:lnTo>
                  <a:pt x="254" y="120"/>
                </a:lnTo>
                <a:lnTo>
                  <a:pt x="302" y="0"/>
                </a:lnTo>
                <a:lnTo>
                  <a:pt x="353" y="117"/>
                </a:lnTo>
                <a:lnTo>
                  <a:pt x="383" y="57"/>
                </a:lnTo>
                <a:lnTo>
                  <a:pt x="455" y="57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176"/>
          <xdr:cNvSpPr>
            <a:spLocks/>
          </xdr:cNvSpPr>
        </xdr:nvSpPr>
        <xdr:spPr>
          <a:xfrm>
            <a:off x="749" y="359"/>
            <a:ext cx="52" cy="15"/>
          </a:xfrm>
          <a:custGeom>
            <a:pathLst>
              <a:path h="120" w="455">
                <a:moveTo>
                  <a:pt x="0" y="56"/>
                </a:moveTo>
                <a:lnTo>
                  <a:pt x="72" y="56"/>
                </a:lnTo>
                <a:lnTo>
                  <a:pt x="105" y="0"/>
                </a:lnTo>
                <a:lnTo>
                  <a:pt x="152" y="117"/>
                </a:lnTo>
                <a:lnTo>
                  <a:pt x="200" y="0"/>
                </a:lnTo>
                <a:lnTo>
                  <a:pt x="254" y="120"/>
                </a:lnTo>
                <a:lnTo>
                  <a:pt x="302" y="0"/>
                </a:lnTo>
                <a:lnTo>
                  <a:pt x="353" y="117"/>
                </a:lnTo>
                <a:lnTo>
                  <a:pt x="383" y="57"/>
                </a:lnTo>
                <a:lnTo>
                  <a:pt x="455" y="57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Polygon 178"/>
          <xdr:cNvSpPr>
            <a:spLocks/>
          </xdr:cNvSpPr>
        </xdr:nvSpPr>
        <xdr:spPr>
          <a:xfrm>
            <a:off x="799" y="273"/>
            <a:ext cx="24" cy="94"/>
          </a:xfrm>
          <a:custGeom>
            <a:pathLst>
              <a:path h="111" w="145">
                <a:moveTo>
                  <a:pt x="0" y="111"/>
                </a:moveTo>
                <a:lnTo>
                  <a:pt x="145" y="111"/>
                </a:lnTo>
                <a:lnTo>
                  <a:pt x="145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Polygon 179"/>
          <xdr:cNvSpPr>
            <a:spLocks/>
          </xdr:cNvSpPr>
        </xdr:nvSpPr>
        <xdr:spPr>
          <a:xfrm>
            <a:off x="584" y="273"/>
            <a:ext cx="167" cy="94"/>
          </a:xfrm>
          <a:custGeom>
            <a:pathLst>
              <a:path h="101" w="44">
                <a:moveTo>
                  <a:pt x="44" y="101"/>
                </a:moveTo>
                <a:lnTo>
                  <a:pt x="0" y="101"/>
                </a:lnTo>
                <a:lnTo>
                  <a:pt x="0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0</xdr:rowOff>
    </xdr:from>
    <xdr:to>
      <xdr:col>4</xdr:col>
      <xdr:colOff>171450</xdr:colOff>
      <xdr:row>12</xdr:row>
      <xdr:rowOff>19050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609850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171450</xdr:colOff>
      <xdr:row>15</xdr:row>
      <xdr:rowOff>19050</xdr:rowOff>
    </xdr:to>
    <xdr:pic>
      <xdr:nvPicPr>
        <xdr:cNvPr id="2" name="Combo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3295650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171450</xdr:colOff>
      <xdr:row>16</xdr:row>
      <xdr:rowOff>9525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352425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171450</xdr:colOff>
      <xdr:row>19</xdr:row>
      <xdr:rowOff>9525</xdr:rowOff>
    </xdr:to>
    <xdr:pic>
      <xdr:nvPicPr>
        <xdr:cNvPr id="4" name="Combo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419100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171450</xdr:colOff>
      <xdr:row>13</xdr:row>
      <xdr:rowOff>28575</xdr:rowOff>
    </xdr:to>
    <xdr:pic>
      <xdr:nvPicPr>
        <xdr:cNvPr id="5" name="Combo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2838450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171450</xdr:colOff>
      <xdr:row>13</xdr:row>
      <xdr:rowOff>19050</xdr:rowOff>
    </xdr:to>
    <xdr:pic>
      <xdr:nvPicPr>
        <xdr:cNvPr id="6" name="Combo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2838450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171450</xdr:colOff>
      <xdr:row>14</xdr:row>
      <xdr:rowOff>9525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306705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6</xdr:row>
      <xdr:rowOff>0</xdr:rowOff>
    </xdr:from>
    <xdr:to>
      <xdr:col>9</xdr:col>
      <xdr:colOff>561975</xdr:colOff>
      <xdr:row>17</xdr:row>
      <xdr:rowOff>238125</xdr:rowOff>
    </xdr:to>
    <xdr:grpSp>
      <xdr:nvGrpSpPr>
        <xdr:cNvPr id="8" name="Group 64"/>
        <xdr:cNvGrpSpPr>
          <a:grpSpLocks/>
        </xdr:cNvGrpSpPr>
      </xdr:nvGrpSpPr>
      <xdr:grpSpPr>
        <a:xfrm>
          <a:off x="4638675" y="1485900"/>
          <a:ext cx="3333750" cy="2695575"/>
          <a:chOff x="483" y="176"/>
          <a:chExt cx="350" cy="283"/>
        </a:xfrm>
        <a:solidFill>
          <a:srgbClr val="FFFFFF"/>
        </a:solidFill>
      </xdr:grpSpPr>
      <xdr:sp>
        <xdr:nvSpPr>
          <xdr:cNvPr id="9" name="AutoShape 1"/>
          <xdr:cNvSpPr>
            <a:spLocks/>
          </xdr:cNvSpPr>
        </xdr:nvSpPr>
        <xdr:spPr>
          <a:xfrm>
            <a:off x="600" y="204"/>
            <a:ext cx="98" cy="146"/>
          </a:xfrm>
          <a:prstGeom prst="rect">
            <a:avLst/>
          </a:prstGeom>
          <a:solidFill>
            <a:srgbClr val="C0C0C0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8"/>
          <xdr:cNvSpPr>
            <a:spLocks/>
          </xdr:cNvSpPr>
        </xdr:nvSpPr>
        <xdr:spPr>
          <a:xfrm>
            <a:off x="724" y="192"/>
            <a:ext cx="17" cy="1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1"/>
          <xdr:cNvSpPr>
            <a:spLocks/>
          </xdr:cNvSpPr>
        </xdr:nvSpPr>
        <xdr:spPr>
          <a:xfrm flipH="1">
            <a:off x="733" y="208"/>
            <a:ext cx="0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96" y="236"/>
            <a:ext cx="24" cy="58"/>
          </a:xfrm>
          <a:custGeom>
            <a:pathLst>
              <a:path h="330" w="205">
                <a:moveTo>
                  <a:pt x="0" y="0"/>
                </a:moveTo>
                <a:lnTo>
                  <a:pt x="205" y="0"/>
                </a:lnTo>
                <a:lnTo>
                  <a:pt x="205" y="330"/>
                </a:lnTo>
                <a:lnTo>
                  <a:pt x="15" y="33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4"/>
          <xdr:cNvSpPr>
            <a:spLocks/>
          </xdr:cNvSpPr>
        </xdr:nvSpPr>
        <xdr:spPr>
          <a:xfrm>
            <a:off x="552" y="263"/>
            <a:ext cx="4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5"/>
          <xdr:cNvSpPr>
            <a:spLocks/>
          </xdr:cNvSpPr>
        </xdr:nvSpPr>
        <xdr:spPr>
          <a:xfrm>
            <a:off x="508" y="253"/>
            <a:ext cx="3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8"/>
          <xdr:cNvSpPr>
            <a:spLocks/>
          </xdr:cNvSpPr>
        </xdr:nvSpPr>
        <xdr:spPr>
          <a:xfrm>
            <a:off x="553" y="294"/>
            <a:ext cx="4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19"/>
          <xdr:cNvSpPr>
            <a:spLocks/>
          </xdr:cNvSpPr>
        </xdr:nvSpPr>
        <xdr:spPr>
          <a:xfrm>
            <a:off x="513" y="314"/>
            <a:ext cx="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1"/>
          <xdr:cNvSpPr>
            <a:spLocks/>
          </xdr:cNvSpPr>
        </xdr:nvSpPr>
        <xdr:spPr>
          <a:xfrm>
            <a:off x="552" y="322"/>
            <a:ext cx="4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2"/>
          <xdr:cNvSpPr>
            <a:spLocks/>
          </xdr:cNvSpPr>
        </xdr:nvSpPr>
        <xdr:spPr>
          <a:xfrm rot="16200000">
            <a:off x="567" y="250"/>
            <a:ext cx="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3"/>
          <xdr:cNvSpPr>
            <a:spLocks/>
          </xdr:cNvSpPr>
        </xdr:nvSpPr>
        <xdr:spPr>
          <a:xfrm rot="16200000">
            <a:off x="564" y="246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4"/>
          <xdr:cNvSpPr>
            <a:spLocks/>
          </xdr:cNvSpPr>
        </xdr:nvSpPr>
        <xdr:spPr>
          <a:xfrm rot="16200000" flipV="1">
            <a:off x="575" y="236"/>
            <a:ext cx="0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5"/>
          <xdr:cNvSpPr>
            <a:spLocks/>
          </xdr:cNvSpPr>
        </xdr:nvSpPr>
        <xdr:spPr>
          <a:xfrm rot="5400000">
            <a:off x="575" y="250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6"/>
          <xdr:cNvSpPr>
            <a:spLocks/>
          </xdr:cNvSpPr>
        </xdr:nvSpPr>
        <xdr:spPr>
          <a:xfrm rot="16200000">
            <a:off x="721" y="341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7"/>
          <xdr:cNvSpPr>
            <a:spLocks/>
          </xdr:cNvSpPr>
        </xdr:nvSpPr>
        <xdr:spPr>
          <a:xfrm rot="16200000">
            <a:off x="721" y="331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8"/>
          <xdr:cNvSpPr>
            <a:spLocks/>
          </xdr:cNvSpPr>
        </xdr:nvSpPr>
        <xdr:spPr>
          <a:xfrm rot="16200000" flipV="1">
            <a:off x="732" y="293"/>
            <a:ext cx="0" cy="3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29"/>
          <xdr:cNvSpPr>
            <a:spLocks/>
          </xdr:cNvSpPr>
        </xdr:nvSpPr>
        <xdr:spPr>
          <a:xfrm rot="5400000" flipH="1" flipV="1">
            <a:off x="729" y="345"/>
            <a:ext cx="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0"/>
          <xdr:cNvSpPr>
            <a:spLocks/>
          </xdr:cNvSpPr>
        </xdr:nvSpPr>
        <xdr:spPr>
          <a:xfrm rot="16200000">
            <a:off x="724" y="362"/>
            <a:ext cx="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1"/>
          <xdr:cNvSpPr>
            <a:spLocks/>
          </xdr:cNvSpPr>
        </xdr:nvSpPr>
        <xdr:spPr>
          <a:xfrm rot="16200000">
            <a:off x="721" y="358"/>
            <a:ext cx="2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2"/>
          <xdr:cNvSpPr>
            <a:spLocks/>
          </xdr:cNvSpPr>
        </xdr:nvSpPr>
        <xdr:spPr>
          <a:xfrm rot="16200000" flipV="1">
            <a:off x="732" y="348"/>
            <a:ext cx="0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3"/>
          <xdr:cNvSpPr>
            <a:spLocks/>
          </xdr:cNvSpPr>
        </xdr:nvSpPr>
        <xdr:spPr>
          <a:xfrm rot="5400000">
            <a:off x="731" y="364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7"/>
          <xdr:cNvSpPr>
            <a:spLocks/>
          </xdr:cNvSpPr>
        </xdr:nvSpPr>
        <xdr:spPr>
          <a:xfrm>
            <a:off x="574" y="236"/>
            <a:ext cx="2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8"/>
          <xdr:cNvSpPr>
            <a:spLocks/>
          </xdr:cNvSpPr>
        </xdr:nvSpPr>
        <xdr:spPr>
          <a:xfrm>
            <a:off x="698" y="263"/>
            <a:ext cx="1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39"/>
          <xdr:cNvSpPr>
            <a:spLocks/>
          </xdr:cNvSpPr>
        </xdr:nvSpPr>
        <xdr:spPr>
          <a:xfrm>
            <a:off x="698" y="294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0"/>
          <xdr:cNvSpPr>
            <a:spLocks/>
          </xdr:cNvSpPr>
        </xdr:nvSpPr>
        <xdr:spPr>
          <a:xfrm>
            <a:off x="698" y="322"/>
            <a:ext cx="1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1"/>
          <xdr:cNvSpPr>
            <a:spLocks/>
          </xdr:cNvSpPr>
        </xdr:nvSpPr>
        <xdr:spPr>
          <a:xfrm>
            <a:off x="698" y="236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3"/>
          <xdr:cNvSpPr>
            <a:spLocks/>
          </xdr:cNvSpPr>
        </xdr:nvSpPr>
        <xdr:spPr>
          <a:xfrm>
            <a:off x="748" y="229"/>
            <a:ext cx="52" cy="16"/>
          </a:xfrm>
          <a:custGeom>
            <a:pathLst>
              <a:path h="120" w="455">
                <a:moveTo>
                  <a:pt x="0" y="56"/>
                </a:moveTo>
                <a:lnTo>
                  <a:pt x="72" y="56"/>
                </a:lnTo>
                <a:lnTo>
                  <a:pt x="105" y="0"/>
                </a:lnTo>
                <a:lnTo>
                  <a:pt x="152" y="117"/>
                </a:lnTo>
                <a:lnTo>
                  <a:pt x="200" y="0"/>
                </a:lnTo>
                <a:lnTo>
                  <a:pt x="254" y="120"/>
                </a:lnTo>
                <a:lnTo>
                  <a:pt x="302" y="0"/>
                </a:lnTo>
                <a:lnTo>
                  <a:pt x="353" y="117"/>
                </a:lnTo>
                <a:lnTo>
                  <a:pt x="383" y="57"/>
                </a:lnTo>
                <a:lnTo>
                  <a:pt x="455" y="57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4"/>
          <xdr:cNvSpPr>
            <a:spLocks/>
          </xdr:cNvSpPr>
        </xdr:nvSpPr>
        <xdr:spPr>
          <a:xfrm>
            <a:off x="747" y="287"/>
            <a:ext cx="52" cy="16"/>
          </a:xfrm>
          <a:custGeom>
            <a:pathLst>
              <a:path h="120" w="455">
                <a:moveTo>
                  <a:pt x="0" y="56"/>
                </a:moveTo>
                <a:lnTo>
                  <a:pt x="72" y="56"/>
                </a:lnTo>
                <a:lnTo>
                  <a:pt x="105" y="0"/>
                </a:lnTo>
                <a:lnTo>
                  <a:pt x="152" y="117"/>
                </a:lnTo>
                <a:lnTo>
                  <a:pt x="200" y="0"/>
                </a:lnTo>
                <a:lnTo>
                  <a:pt x="254" y="120"/>
                </a:lnTo>
                <a:lnTo>
                  <a:pt x="302" y="0"/>
                </a:lnTo>
                <a:lnTo>
                  <a:pt x="353" y="117"/>
                </a:lnTo>
                <a:lnTo>
                  <a:pt x="383" y="57"/>
                </a:lnTo>
                <a:lnTo>
                  <a:pt x="455" y="57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3"/>
          <xdr:cNvSpPr>
            <a:spLocks/>
          </xdr:cNvSpPr>
        </xdr:nvSpPr>
        <xdr:spPr>
          <a:xfrm>
            <a:off x="746" y="380"/>
            <a:ext cx="52" cy="15"/>
          </a:xfrm>
          <a:custGeom>
            <a:pathLst>
              <a:path h="120" w="455">
                <a:moveTo>
                  <a:pt x="0" y="56"/>
                </a:moveTo>
                <a:lnTo>
                  <a:pt x="72" y="56"/>
                </a:lnTo>
                <a:lnTo>
                  <a:pt x="105" y="0"/>
                </a:lnTo>
                <a:lnTo>
                  <a:pt x="152" y="117"/>
                </a:lnTo>
                <a:lnTo>
                  <a:pt x="200" y="0"/>
                </a:lnTo>
                <a:lnTo>
                  <a:pt x="254" y="120"/>
                </a:lnTo>
                <a:lnTo>
                  <a:pt x="302" y="0"/>
                </a:lnTo>
                <a:lnTo>
                  <a:pt x="353" y="117"/>
                </a:lnTo>
                <a:lnTo>
                  <a:pt x="383" y="57"/>
                </a:lnTo>
                <a:lnTo>
                  <a:pt x="455" y="57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Polygon 55"/>
          <xdr:cNvSpPr>
            <a:spLocks/>
          </xdr:cNvSpPr>
        </xdr:nvSpPr>
        <xdr:spPr>
          <a:xfrm>
            <a:off x="796" y="294"/>
            <a:ext cx="24" cy="94"/>
          </a:xfrm>
          <a:custGeom>
            <a:pathLst>
              <a:path h="111" w="145">
                <a:moveTo>
                  <a:pt x="0" y="111"/>
                </a:moveTo>
                <a:lnTo>
                  <a:pt x="145" y="111"/>
                </a:lnTo>
                <a:lnTo>
                  <a:pt x="145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Polygon 56"/>
          <xdr:cNvSpPr>
            <a:spLocks/>
          </xdr:cNvSpPr>
        </xdr:nvSpPr>
        <xdr:spPr>
          <a:xfrm>
            <a:off x="581" y="294"/>
            <a:ext cx="62" cy="94"/>
          </a:xfrm>
          <a:custGeom>
            <a:pathLst>
              <a:path h="101" w="44">
                <a:moveTo>
                  <a:pt x="44" y="101"/>
                </a:moveTo>
                <a:lnTo>
                  <a:pt x="0" y="101"/>
                </a:lnTo>
                <a:lnTo>
                  <a:pt x="0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9"/>
          <xdr:cNvSpPr>
            <a:spLocks/>
          </xdr:cNvSpPr>
        </xdr:nvSpPr>
        <xdr:spPr>
          <a:xfrm rot="16200000">
            <a:off x="663" y="376"/>
            <a:ext cx="0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60"/>
          <xdr:cNvSpPr>
            <a:spLocks/>
          </xdr:cNvSpPr>
        </xdr:nvSpPr>
        <xdr:spPr>
          <a:xfrm>
            <a:off x="663" y="388"/>
            <a:ext cx="8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1"/>
          <xdr:cNvSpPr>
            <a:spLocks/>
          </xdr:cNvSpPr>
        </xdr:nvSpPr>
        <xdr:spPr>
          <a:xfrm>
            <a:off x="644" y="378"/>
            <a:ext cx="19" cy="18"/>
          </a:xfrm>
          <a:custGeom>
            <a:pathLst>
              <a:path h="20" w="19">
                <a:moveTo>
                  <a:pt x="19" y="10"/>
                </a:moveTo>
                <a:lnTo>
                  <a:pt x="0" y="20"/>
                </a:lnTo>
                <a:lnTo>
                  <a:pt x="0" y="0"/>
                </a:lnTo>
                <a:lnTo>
                  <a:pt x="19" y="10"/>
                </a:lnTo>
              </a:path>
            </a:pathLst>
          </a:cu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171450</xdr:colOff>
      <xdr:row>7</xdr:row>
      <xdr:rowOff>9525</xdr:rowOff>
    </xdr:to>
    <xdr:pic>
      <xdr:nvPicPr>
        <xdr:cNvPr id="62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0" y="14859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0</xdr:rowOff>
    </xdr:from>
    <xdr:to>
      <xdr:col>4</xdr:col>
      <xdr:colOff>171450</xdr:colOff>
      <xdr:row>12</xdr:row>
      <xdr:rowOff>19050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609850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171450</xdr:colOff>
      <xdr:row>15</xdr:row>
      <xdr:rowOff>19050</xdr:rowOff>
    </xdr:to>
    <xdr:pic>
      <xdr:nvPicPr>
        <xdr:cNvPr id="2" name="Combo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3295650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171450</xdr:colOff>
      <xdr:row>16</xdr:row>
      <xdr:rowOff>9525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352425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171450</xdr:colOff>
      <xdr:row>19</xdr:row>
      <xdr:rowOff>9525</xdr:rowOff>
    </xdr:to>
    <xdr:pic>
      <xdr:nvPicPr>
        <xdr:cNvPr id="4" name="Combo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419100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171450</xdr:colOff>
      <xdr:row>13</xdr:row>
      <xdr:rowOff>28575</xdr:rowOff>
    </xdr:to>
    <xdr:pic>
      <xdr:nvPicPr>
        <xdr:cNvPr id="5" name="Combo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2838450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171450</xdr:colOff>
      <xdr:row>13</xdr:row>
      <xdr:rowOff>19050</xdr:rowOff>
    </xdr:to>
    <xdr:pic>
      <xdr:nvPicPr>
        <xdr:cNvPr id="6" name="Combo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2838450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171450</xdr:colOff>
      <xdr:row>14</xdr:row>
      <xdr:rowOff>9525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306705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6</xdr:row>
      <xdr:rowOff>171450</xdr:rowOff>
    </xdr:from>
    <xdr:to>
      <xdr:col>10</xdr:col>
      <xdr:colOff>142875</xdr:colOff>
      <xdr:row>19</xdr:row>
      <xdr:rowOff>57150</xdr:rowOff>
    </xdr:to>
    <xdr:grpSp>
      <xdr:nvGrpSpPr>
        <xdr:cNvPr id="8" name="Group 74"/>
        <xdr:cNvGrpSpPr>
          <a:grpSpLocks/>
        </xdr:cNvGrpSpPr>
      </xdr:nvGrpSpPr>
      <xdr:grpSpPr>
        <a:xfrm>
          <a:off x="4076700" y="1657350"/>
          <a:ext cx="4438650" cy="2819400"/>
          <a:chOff x="479" y="140"/>
          <a:chExt cx="466" cy="296"/>
        </a:xfrm>
        <a:solidFill>
          <a:srgbClr val="FFFFFF"/>
        </a:solidFill>
      </xdr:grpSpPr>
      <xdr:sp>
        <xdr:nvSpPr>
          <xdr:cNvPr id="10" name="AutoShape 1"/>
          <xdr:cNvSpPr>
            <a:spLocks/>
          </xdr:cNvSpPr>
        </xdr:nvSpPr>
        <xdr:spPr>
          <a:xfrm>
            <a:off x="596" y="173"/>
            <a:ext cx="98" cy="145"/>
          </a:xfrm>
          <a:prstGeom prst="rect">
            <a:avLst/>
          </a:prstGeom>
          <a:solidFill>
            <a:srgbClr val="C0C0C0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8"/>
          <xdr:cNvSpPr>
            <a:spLocks/>
          </xdr:cNvSpPr>
        </xdr:nvSpPr>
        <xdr:spPr>
          <a:xfrm>
            <a:off x="720" y="153"/>
            <a:ext cx="17" cy="15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9"/>
          <xdr:cNvSpPr>
            <a:spLocks/>
          </xdr:cNvSpPr>
        </xdr:nvSpPr>
        <xdr:spPr>
          <a:xfrm>
            <a:off x="729" y="168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 flipH="1">
            <a:off x="729" y="177"/>
            <a:ext cx="0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2"/>
          <xdr:cNvSpPr>
            <a:spLocks/>
          </xdr:cNvSpPr>
        </xdr:nvSpPr>
        <xdr:spPr>
          <a:xfrm>
            <a:off x="786" y="205"/>
            <a:ext cx="16" cy="56"/>
          </a:xfrm>
          <a:custGeom>
            <a:pathLst>
              <a:path h="60" w="22">
                <a:moveTo>
                  <a:pt x="22" y="0"/>
                </a:moveTo>
                <a:lnTo>
                  <a:pt x="22" y="60"/>
                </a:lnTo>
                <a:lnTo>
                  <a:pt x="0" y="6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4"/>
          <xdr:cNvSpPr>
            <a:spLocks/>
          </xdr:cNvSpPr>
        </xdr:nvSpPr>
        <xdr:spPr>
          <a:xfrm>
            <a:off x="548" y="232"/>
            <a:ext cx="4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5"/>
          <xdr:cNvSpPr>
            <a:spLocks/>
          </xdr:cNvSpPr>
        </xdr:nvSpPr>
        <xdr:spPr>
          <a:xfrm>
            <a:off x="504" y="223"/>
            <a:ext cx="3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18"/>
          <xdr:cNvSpPr>
            <a:spLocks/>
          </xdr:cNvSpPr>
        </xdr:nvSpPr>
        <xdr:spPr>
          <a:xfrm>
            <a:off x="549" y="261"/>
            <a:ext cx="4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19"/>
          <xdr:cNvSpPr>
            <a:spLocks/>
          </xdr:cNvSpPr>
        </xdr:nvSpPr>
        <xdr:spPr>
          <a:xfrm>
            <a:off x="509" y="280"/>
            <a:ext cx="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1"/>
          <xdr:cNvSpPr>
            <a:spLocks/>
          </xdr:cNvSpPr>
        </xdr:nvSpPr>
        <xdr:spPr>
          <a:xfrm>
            <a:off x="548" y="288"/>
            <a:ext cx="4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2"/>
          <xdr:cNvSpPr>
            <a:spLocks/>
          </xdr:cNvSpPr>
        </xdr:nvSpPr>
        <xdr:spPr>
          <a:xfrm rot="16200000">
            <a:off x="563" y="218"/>
            <a:ext cx="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3"/>
          <xdr:cNvSpPr>
            <a:spLocks/>
          </xdr:cNvSpPr>
        </xdr:nvSpPr>
        <xdr:spPr>
          <a:xfrm rot="16200000">
            <a:off x="560" y="214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4"/>
          <xdr:cNvSpPr>
            <a:spLocks/>
          </xdr:cNvSpPr>
        </xdr:nvSpPr>
        <xdr:spPr>
          <a:xfrm rot="16200000" flipV="1">
            <a:off x="571" y="205"/>
            <a:ext cx="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5"/>
          <xdr:cNvSpPr>
            <a:spLocks/>
          </xdr:cNvSpPr>
        </xdr:nvSpPr>
        <xdr:spPr>
          <a:xfrm rot="5400000">
            <a:off x="571" y="220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6"/>
          <xdr:cNvSpPr>
            <a:spLocks/>
          </xdr:cNvSpPr>
        </xdr:nvSpPr>
        <xdr:spPr>
          <a:xfrm rot="16200000">
            <a:off x="717" y="307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7"/>
          <xdr:cNvSpPr>
            <a:spLocks/>
          </xdr:cNvSpPr>
        </xdr:nvSpPr>
        <xdr:spPr>
          <a:xfrm rot="16200000">
            <a:off x="717" y="298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28"/>
          <xdr:cNvSpPr>
            <a:spLocks/>
          </xdr:cNvSpPr>
        </xdr:nvSpPr>
        <xdr:spPr>
          <a:xfrm rot="16200000" flipV="1">
            <a:off x="728" y="260"/>
            <a:ext cx="0" cy="3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29"/>
          <xdr:cNvSpPr>
            <a:spLocks/>
          </xdr:cNvSpPr>
        </xdr:nvSpPr>
        <xdr:spPr>
          <a:xfrm rot="5400000" flipH="1" flipV="1">
            <a:off x="724" y="312"/>
            <a:ext cx="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0"/>
          <xdr:cNvSpPr>
            <a:spLocks/>
          </xdr:cNvSpPr>
        </xdr:nvSpPr>
        <xdr:spPr>
          <a:xfrm rot="16200000">
            <a:off x="720" y="329"/>
            <a:ext cx="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1"/>
          <xdr:cNvSpPr>
            <a:spLocks/>
          </xdr:cNvSpPr>
        </xdr:nvSpPr>
        <xdr:spPr>
          <a:xfrm rot="16200000">
            <a:off x="717" y="325"/>
            <a:ext cx="2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2"/>
          <xdr:cNvSpPr>
            <a:spLocks/>
          </xdr:cNvSpPr>
        </xdr:nvSpPr>
        <xdr:spPr>
          <a:xfrm rot="16200000" flipV="1">
            <a:off x="728" y="316"/>
            <a:ext cx="0" cy="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3"/>
          <xdr:cNvSpPr>
            <a:spLocks/>
          </xdr:cNvSpPr>
        </xdr:nvSpPr>
        <xdr:spPr>
          <a:xfrm rot="5400000">
            <a:off x="727" y="331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7"/>
          <xdr:cNvSpPr>
            <a:spLocks/>
          </xdr:cNvSpPr>
        </xdr:nvSpPr>
        <xdr:spPr>
          <a:xfrm>
            <a:off x="570" y="205"/>
            <a:ext cx="2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38"/>
          <xdr:cNvSpPr>
            <a:spLocks/>
          </xdr:cNvSpPr>
        </xdr:nvSpPr>
        <xdr:spPr>
          <a:xfrm>
            <a:off x="694" y="232"/>
            <a:ext cx="10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39"/>
          <xdr:cNvSpPr>
            <a:spLocks/>
          </xdr:cNvSpPr>
        </xdr:nvSpPr>
        <xdr:spPr>
          <a:xfrm>
            <a:off x="694" y="261"/>
            <a:ext cx="4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0"/>
          <xdr:cNvSpPr>
            <a:spLocks/>
          </xdr:cNvSpPr>
        </xdr:nvSpPr>
        <xdr:spPr>
          <a:xfrm>
            <a:off x="694" y="288"/>
            <a:ext cx="1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1"/>
          <xdr:cNvSpPr>
            <a:spLocks/>
          </xdr:cNvSpPr>
        </xdr:nvSpPr>
        <xdr:spPr>
          <a:xfrm>
            <a:off x="694" y="205"/>
            <a:ext cx="4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3"/>
          <xdr:cNvSpPr>
            <a:spLocks/>
          </xdr:cNvSpPr>
        </xdr:nvSpPr>
        <xdr:spPr>
          <a:xfrm>
            <a:off x="738" y="198"/>
            <a:ext cx="52" cy="15"/>
          </a:xfrm>
          <a:custGeom>
            <a:pathLst>
              <a:path h="120" w="455">
                <a:moveTo>
                  <a:pt x="0" y="56"/>
                </a:moveTo>
                <a:lnTo>
                  <a:pt x="72" y="56"/>
                </a:lnTo>
                <a:lnTo>
                  <a:pt x="105" y="0"/>
                </a:lnTo>
                <a:lnTo>
                  <a:pt x="152" y="117"/>
                </a:lnTo>
                <a:lnTo>
                  <a:pt x="200" y="0"/>
                </a:lnTo>
                <a:lnTo>
                  <a:pt x="254" y="120"/>
                </a:lnTo>
                <a:lnTo>
                  <a:pt x="302" y="0"/>
                </a:lnTo>
                <a:lnTo>
                  <a:pt x="353" y="117"/>
                </a:lnTo>
                <a:lnTo>
                  <a:pt x="383" y="57"/>
                </a:lnTo>
                <a:lnTo>
                  <a:pt x="455" y="57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4"/>
          <xdr:cNvSpPr>
            <a:spLocks/>
          </xdr:cNvSpPr>
        </xdr:nvSpPr>
        <xdr:spPr>
          <a:xfrm>
            <a:off x="737" y="255"/>
            <a:ext cx="52" cy="15"/>
          </a:xfrm>
          <a:custGeom>
            <a:pathLst>
              <a:path h="120" w="455">
                <a:moveTo>
                  <a:pt x="0" y="56"/>
                </a:moveTo>
                <a:lnTo>
                  <a:pt x="72" y="56"/>
                </a:lnTo>
                <a:lnTo>
                  <a:pt x="105" y="0"/>
                </a:lnTo>
                <a:lnTo>
                  <a:pt x="152" y="117"/>
                </a:lnTo>
                <a:lnTo>
                  <a:pt x="200" y="0"/>
                </a:lnTo>
                <a:lnTo>
                  <a:pt x="254" y="120"/>
                </a:lnTo>
                <a:lnTo>
                  <a:pt x="302" y="0"/>
                </a:lnTo>
                <a:lnTo>
                  <a:pt x="353" y="117"/>
                </a:lnTo>
                <a:lnTo>
                  <a:pt x="383" y="57"/>
                </a:lnTo>
                <a:lnTo>
                  <a:pt x="455" y="57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53"/>
          <xdr:cNvSpPr>
            <a:spLocks/>
          </xdr:cNvSpPr>
        </xdr:nvSpPr>
        <xdr:spPr>
          <a:xfrm>
            <a:off x="811" y="197"/>
            <a:ext cx="52" cy="16"/>
          </a:xfrm>
          <a:custGeom>
            <a:pathLst>
              <a:path h="120" w="455">
                <a:moveTo>
                  <a:pt x="0" y="56"/>
                </a:moveTo>
                <a:lnTo>
                  <a:pt x="72" y="56"/>
                </a:lnTo>
                <a:lnTo>
                  <a:pt x="105" y="0"/>
                </a:lnTo>
                <a:lnTo>
                  <a:pt x="152" y="117"/>
                </a:lnTo>
                <a:lnTo>
                  <a:pt x="200" y="0"/>
                </a:lnTo>
                <a:lnTo>
                  <a:pt x="254" y="120"/>
                </a:lnTo>
                <a:lnTo>
                  <a:pt x="302" y="0"/>
                </a:lnTo>
                <a:lnTo>
                  <a:pt x="353" y="117"/>
                </a:lnTo>
                <a:lnTo>
                  <a:pt x="383" y="57"/>
                </a:lnTo>
                <a:lnTo>
                  <a:pt x="455" y="57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Polygon 55"/>
          <xdr:cNvSpPr>
            <a:spLocks/>
          </xdr:cNvSpPr>
        </xdr:nvSpPr>
        <xdr:spPr>
          <a:xfrm>
            <a:off x="647" y="227"/>
            <a:ext cx="244" cy="128"/>
          </a:xfrm>
          <a:custGeom>
            <a:pathLst>
              <a:path h="111" w="145">
                <a:moveTo>
                  <a:pt x="0" y="111"/>
                </a:moveTo>
                <a:lnTo>
                  <a:pt x="145" y="111"/>
                </a:lnTo>
                <a:lnTo>
                  <a:pt x="145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Polygon 56"/>
          <xdr:cNvSpPr>
            <a:spLocks/>
          </xdr:cNvSpPr>
        </xdr:nvSpPr>
        <xdr:spPr>
          <a:xfrm>
            <a:off x="577" y="261"/>
            <a:ext cx="73" cy="94"/>
          </a:xfrm>
          <a:custGeom>
            <a:pathLst>
              <a:path h="101" w="44">
                <a:moveTo>
                  <a:pt x="44" y="101"/>
                </a:moveTo>
                <a:lnTo>
                  <a:pt x="0" y="101"/>
                </a:lnTo>
                <a:lnTo>
                  <a:pt x="0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60"/>
          <xdr:cNvSpPr>
            <a:spLocks/>
          </xdr:cNvSpPr>
        </xdr:nvSpPr>
        <xdr:spPr>
          <a:xfrm>
            <a:off x="787" y="205"/>
            <a:ext cx="2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3"/>
          <xdr:cNvSpPr>
            <a:spLocks/>
          </xdr:cNvSpPr>
        </xdr:nvSpPr>
        <xdr:spPr>
          <a:xfrm>
            <a:off x="906" y="153"/>
            <a:ext cx="17" cy="15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4"/>
          <xdr:cNvSpPr>
            <a:spLocks/>
          </xdr:cNvSpPr>
        </xdr:nvSpPr>
        <xdr:spPr>
          <a:xfrm>
            <a:off x="915" y="168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5"/>
          <xdr:cNvSpPr>
            <a:spLocks/>
          </xdr:cNvSpPr>
        </xdr:nvSpPr>
        <xdr:spPr>
          <a:xfrm flipH="1">
            <a:off x="915" y="177"/>
            <a:ext cx="0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6"/>
          <xdr:cNvSpPr>
            <a:spLocks/>
          </xdr:cNvSpPr>
        </xdr:nvSpPr>
        <xdr:spPr>
          <a:xfrm rot="16200000">
            <a:off x="878" y="218"/>
            <a:ext cx="2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7"/>
          <xdr:cNvSpPr>
            <a:spLocks/>
          </xdr:cNvSpPr>
        </xdr:nvSpPr>
        <xdr:spPr>
          <a:xfrm>
            <a:off x="859" y="205"/>
            <a:ext cx="57" cy="7"/>
          </a:xfrm>
          <a:custGeom>
            <a:pathLst>
              <a:path h="8" w="57">
                <a:moveTo>
                  <a:pt x="0" y="0"/>
                </a:moveTo>
                <a:lnTo>
                  <a:pt x="20" y="0"/>
                </a:lnTo>
                <a:lnTo>
                  <a:pt x="20" y="8"/>
                </a:lnTo>
                <a:lnTo>
                  <a:pt x="44" y="8"/>
                </a:lnTo>
                <a:lnTo>
                  <a:pt x="44" y="0"/>
                </a:lnTo>
                <a:lnTo>
                  <a:pt x="57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8"/>
          <xdr:cNvSpPr>
            <a:spLocks/>
          </xdr:cNvSpPr>
        </xdr:nvSpPr>
        <xdr:spPr>
          <a:xfrm>
            <a:off x="886" y="218"/>
            <a:ext cx="10" cy="9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171450</xdr:colOff>
      <xdr:row>7</xdr:row>
      <xdr:rowOff>9525</xdr:rowOff>
    </xdr:to>
    <xdr:pic>
      <xdr:nvPicPr>
        <xdr:cNvPr id="6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0" y="14859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84"/>
  <sheetViews>
    <sheetView showGridLines="0" showRowColHeaders="0" tabSelected="1" workbookViewId="0" topLeftCell="A1">
      <selection activeCell="A3" sqref="A3"/>
    </sheetView>
  </sheetViews>
  <sheetFormatPr defaultColWidth="9.00390625" defaultRowHeight="14.25"/>
  <cols>
    <col min="1" max="1" width="3.125" style="0" customWidth="1"/>
    <col min="2" max="2" width="20.625" style="0" customWidth="1"/>
    <col min="3" max="3" width="13.125" style="0" customWidth="1"/>
    <col min="4" max="4" width="7.125" style="0" customWidth="1"/>
    <col min="5" max="7" width="10.625" style="0" customWidth="1"/>
    <col min="8" max="8" width="10.75390625" style="0" customWidth="1"/>
    <col min="9" max="12" width="10.625" style="0" customWidth="1"/>
  </cols>
  <sheetData>
    <row r="1" spans="3:12" ht="28.5" customHeight="1">
      <c r="C1" s="27" t="s">
        <v>88</v>
      </c>
      <c r="J1" s="52">
        <v>40150</v>
      </c>
      <c r="L1" s="4"/>
    </row>
    <row r="2" spans="1:3" ht="22.5" customHeight="1">
      <c r="A2" s="2"/>
      <c r="C2" s="24" t="s">
        <v>97</v>
      </c>
    </row>
    <row r="3" spans="1:9" ht="14.25" customHeight="1">
      <c r="A3" s="2"/>
      <c r="C3" s="24" t="s">
        <v>109</v>
      </c>
      <c r="H3" s="19" t="s">
        <v>16</v>
      </c>
      <c r="I3" s="20" t="s">
        <v>55</v>
      </c>
    </row>
    <row r="4" spans="8:9" ht="14.25">
      <c r="H4" s="21" t="s">
        <v>17</v>
      </c>
      <c r="I4" s="20" t="s">
        <v>18</v>
      </c>
    </row>
    <row r="5" spans="2:9" ht="19.5" customHeight="1">
      <c r="B5" s="80" t="s">
        <v>20</v>
      </c>
      <c r="C5" s="80"/>
      <c r="H5" s="74" t="s">
        <v>124</v>
      </c>
      <c r="I5" s="20" t="s">
        <v>123</v>
      </c>
    </row>
    <row r="6" spans="2:12" ht="18" customHeight="1">
      <c r="B6" s="63" t="s">
        <v>9</v>
      </c>
      <c r="C6" s="73" t="s">
        <v>0</v>
      </c>
      <c r="E6" s="3"/>
      <c r="K6" s="13"/>
      <c r="L6" s="13"/>
    </row>
    <row r="7" spans="2:12" ht="18" customHeight="1">
      <c r="B7" s="63" t="s">
        <v>117</v>
      </c>
      <c r="C7" s="69" t="s">
        <v>120</v>
      </c>
      <c r="E7" s="3"/>
      <c r="K7" s="13"/>
      <c r="L7" s="13"/>
    </row>
    <row r="8" spans="2:12" ht="18" customHeight="1">
      <c r="B8" s="63" t="s">
        <v>79</v>
      </c>
      <c r="C8" s="73" t="s">
        <v>78</v>
      </c>
      <c r="E8" s="3"/>
      <c r="K8" s="13"/>
      <c r="L8" s="13"/>
    </row>
    <row r="9" spans="2:6" ht="18" customHeight="1">
      <c r="B9" s="63" t="s">
        <v>8</v>
      </c>
      <c r="C9" s="64">
        <v>3</v>
      </c>
      <c r="D9" s="17" t="s">
        <v>7</v>
      </c>
      <c r="E9" s="70">
        <f>IF(VDD&lt;1.8,"VDD too low!",IF(VDD&gt;6,"VDD too High!",""))</f>
      </c>
      <c r="F9" s="46"/>
    </row>
    <row r="10" spans="2:5" ht="15" customHeight="1">
      <c r="B10" s="6"/>
      <c r="C10" s="9"/>
      <c r="D10" s="5"/>
      <c r="E10" s="3"/>
    </row>
    <row r="11" spans="2:4" ht="19.5" customHeight="1">
      <c r="B11" s="80" t="s">
        <v>1</v>
      </c>
      <c r="C11" s="80"/>
      <c r="D11" s="71" t="s">
        <v>3</v>
      </c>
    </row>
    <row r="12" spans="2:6" ht="18" customHeight="1">
      <c r="B12" s="63" t="s">
        <v>113</v>
      </c>
      <c r="C12" s="64">
        <v>1</v>
      </c>
      <c r="D12" s="65" t="s">
        <v>2</v>
      </c>
      <c r="E12" s="16"/>
      <c r="F12" s="7"/>
    </row>
    <row r="13" spans="2:6" ht="18" customHeight="1">
      <c r="B13" s="63" t="s">
        <v>114</v>
      </c>
      <c r="C13" s="64">
        <v>100</v>
      </c>
      <c r="D13" s="66" t="s">
        <v>4</v>
      </c>
      <c r="E13" s="3"/>
      <c r="F13" s="7"/>
    </row>
    <row r="14" spans="2:6" ht="18" customHeight="1">
      <c r="B14" s="63" t="s">
        <v>115</v>
      </c>
      <c r="C14" s="64">
        <v>3.3</v>
      </c>
      <c r="D14" s="66" t="s">
        <v>2</v>
      </c>
      <c r="E14" s="3"/>
      <c r="F14" s="7"/>
    </row>
    <row r="15" spans="2:7" ht="18" customHeight="1">
      <c r="B15" s="63" t="s">
        <v>116</v>
      </c>
      <c r="C15" s="64">
        <v>1</v>
      </c>
      <c r="D15" s="65" t="s">
        <v>15</v>
      </c>
      <c r="E15" s="16"/>
      <c r="F15" s="7"/>
      <c r="G15" s="12"/>
    </row>
    <row r="16" spans="2:7" ht="18" customHeight="1">
      <c r="B16" s="63" t="s">
        <v>10</v>
      </c>
      <c r="C16" s="67" t="s">
        <v>82</v>
      </c>
      <c r="D16" s="68"/>
      <c r="E16" s="16"/>
      <c r="F16" s="7"/>
      <c r="G16" s="12"/>
    </row>
    <row r="17" spans="2:5" ht="15" customHeight="1">
      <c r="B17" s="1"/>
      <c r="C17" s="3"/>
      <c r="E17" s="3"/>
    </row>
    <row r="18" spans="2:5" ht="19.5" customHeight="1">
      <c r="B18" s="80" t="s">
        <v>21</v>
      </c>
      <c r="C18" s="80"/>
      <c r="D18" s="71" t="s">
        <v>3</v>
      </c>
      <c r="E18" s="3"/>
    </row>
    <row r="19" spans="2:5" ht="18" customHeight="1">
      <c r="B19" s="59" t="s">
        <v>54</v>
      </c>
      <c r="C19" s="60">
        <f>C48</f>
        <v>107.72302799920011</v>
      </c>
      <c r="D19" s="61" t="s">
        <v>22</v>
      </c>
      <c r="E19" s="45"/>
    </row>
    <row r="20" spans="2:5" ht="18" customHeight="1">
      <c r="B20" s="59" t="s">
        <v>70</v>
      </c>
      <c r="C20" s="60">
        <f>C49</f>
        <v>9.283066198319503</v>
      </c>
      <c r="D20" s="17" t="s">
        <v>51</v>
      </c>
      <c r="E20" s="46"/>
    </row>
    <row r="21" spans="2:9" ht="18" customHeight="1">
      <c r="B21" s="59" t="s">
        <v>83</v>
      </c>
      <c r="C21" s="60">
        <f>C19*(100-C23)/100</f>
        <v>74.06332853993982</v>
      </c>
      <c r="D21" s="17" t="str">
        <f>D19</f>
        <v>msec</v>
      </c>
      <c r="E21" s="46"/>
      <c r="H21" s="56" t="s">
        <v>85</v>
      </c>
      <c r="I21" s="71" t="s">
        <v>3</v>
      </c>
    </row>
    <row r="22" spans="2:9" ht="18" customHeight="1">
      <c r="B22" s="59" t="s">
        <v>84</v>
      </c>
      <c r="C22" s="60">
        <f>C19*C23/100</f>
        <v>33.65969945926028</v>
      </c>
      <c r="D22" s="17" t="str">
        <f>D19</f>
        <v>msec</v>
      </c>
      <c r="E22" s="46"/>
      <c r="G22" s="59" t="s">
        <v>25</v>
      </c>
      <c r="H22" s="60">
        <f>C57</f>
        <v>6.133333333333333</v>
      </c>
      <c r="I22" s="17" t="s">
        <v>86</v>
      </c>
    </row>
    <row r="23" spans="2:9" ht="18" customHeight="1">
      <c r="B23" s="59" t="s">
        <v>71</v>
      </c>
      <c r="C23" s="62">
        <f>C50</f>
        <v>31.24652182958524</v>
      </c>
      <c r="D23" s="17" t="s">
        <v>53</v>
      </c>
      <c r="E23" s="45"/>
      <c r="G23" s="59" t="s">
        <v>26</v>
      </c>
      <c r="H23" s="60">
        <f>C58</f>
        <v>4.2881388485611796</v>
      </c>
      <c r="I23" s="17" t="s">
        <v>87</v>
      </c>
    </row>
    <row r="24" spans="2:8" ht="16.5" customHeight="1">
      <c r="B24" s="47"/>
      <c r="C24" s="34"/>
      <c r="D24" s="34"/>
      <c r="H24" s="57"/>
    </row>
    <row r="25" ht="15" customHeight="1"/>
    <row r="26" spans="6:14" ht="15" customHeight="1">
      <c r="F26" s="10"/>
      <c r="G26" s="10"/>
      <c r="H26" s="10"/>
      <c r="I26" s="10"/>
      <c r="J26" s="10"/>
      <c r="K26" s="10"/>
      <c r="L26" s="8"/>
      <c r="M26" s="8"/>
      <c r="N26" s="8"/>
    </row>
    <row r="27" spans="1:14" ht="15" customHeight="1">
      <c r="A27" s="10"/>
      <c r="B27" s="44"/>
      <c r="C27" s="29"/>
      <c r="D27" s="18"/>
      <c r="F27" s="10"/>
      <c r="G27" s="10"/>
      <c r="H27" s="10"/>
      <c r="I27" s="10"/>
      <c r="K27" s="10"/>
      <c r="L27" s="8"/>
      <c r="M27" s="8"/>
      <c r="N27" s="8"/>
    </row>
    <row r="28" spans="1:14" ht="14.25" hidden="1">
      <c r="A28" s="10"/>
      <c r="F28" s="11"/>
      <c r="G28" s="11"/>
      <c r="H28" s="11"/>
      <c r="I28" s="11"/>
      <c r="J28" s="10"/>
      <c r="K28" s="10"/>
      <c r="L28" s="8"/>
      <c r="M28" s="8"/>
      <c r="N28" s="8"/>
    </row>
    <row r="29" spans="1:14" ht="15" hidden="1">
      <c r="A29" s="10"/>
      <c r="B29" s="30" t="s">
        <v>69</v>
      </c>
      <c r="C29" s="31">
        <f>RF*G$30</f>
        <v>3300000</v>
      </c>
      <c r="D29" s="11" t="s">
        <v>28</v>
      </c>
      <c r="E29" s="11"/>
      <c r="F29" s="11"/>
      <c r="G29" s="25" t="s">
        <v>68</v>
      </c>
      <c r="H29" s="14">
        <f>IF(D$14="K",1,0)</f>
        <v>0</v>
      </c>
      <c r="I29" s="14" t="s">
        <v>4</v>
      </c>
      <c r="J29" s="10"/>
      <c r="K29" s="10"/>
      <c r="L29" s="8"/>
      <c r="M29" s="8"/>
      <c r="N29" s="8"/>
    </row>
    <row r="30" spans="1:14" ht="14.25" hidden="1">
      <c r="A30" s="10"/>
      <c r="B30" s="30" t="s">
        <v>30</v>
      </c>
      <c r="C30" s="31">
        <f>RA*G$33</f>
        <v>1000000</v>
      </c>
      <c r="D30" s="11" t="s">
        <v>28</v>
      </c>
      <c r="E30" s="11"/>
      <c r="F30" s="11"/>
      <c r="G30" s="33">
        <f>H29*1000+H30*1000000</f>
        <v>1000000</v>
      </c>
      <c r="H30" s="14">
        <f>IF(D$14="Meg",1,0)</f>
        <v>1</v>
      </c>
      <c r="I30" s="14" t="s">
        <v>2</v>
      </c>
      <c r="J30" s="10"/>
      <c r="K30" s="10"/>
      <c r="L30" s="8"/>
      <c r="M30" s="8"/>
      <c r="N30" s="8"/>
    </row>
    <row r="31" spans="1:14" ht="14.25" hidden="1">
      <c r="A31" s="10"/>
      <c r="B31" s="30" t="s">
        <v>31</v>
      </c>
      <c r="C31" s="31">
        <f>RB*G$36</f>
        <v>100000</v>
      </c>
      <c r="D31" s="23" t="s">
        <v>28</v>
      </c>
      <c r="E31" s="11"/>
      <c r="F31" s="11"/>
      <c r="G31" s="7"/>
      <c r="H31" s="7"/>
      <c r="I31" s="7"/>
      <c r="J31" s="10"/>
      <c r="K31" s="10"/>
      <c r="L31" s="8"/>
      <c r="M31" s="8"/>
      <c r="N31" s="8"/>
    </row>
    <row r="32" spans="1:14" ht="15" hidden="1">
      <c r="A32" s="10"/>
      <c r="B32" s="30" t="s">
        <v>77</v>
      </c>
      <c r="C32" s="53">
        <f>(ResA*ResF)/(ResA+ResF)</f>
        <v>767441.8604651163</v>
      </c>
      <c r="D32" s="23" t="s">
        <v>28</v>
      </c>
      <c r="E32" s="11"/>
      <c r="F32" s="11"/>
      <c r="G32" s="25" t="s">
        <v>45</v>
      </c>
      <c r="H32" s="14">
        <f>IF(D$12="K",1,0)</f>
        <v>0</v>
      </c>
      <c r="I32" s="14" t="s">
        <v>4</v>
      </c>
      <c r="J32" s="10"/>
      <c r="K32" s="10"/>
      <c r="L32" s="8"/>
      <c r="M32" s="8"/>
      <c r="N32" s="8"/>
    </row>
    <row r="33" spans="1:14" ht="14.25" hidden="1">
      <c r="A33" s="10"/>
      <c r="B33" s="30" t="s">
        <v>32</v>
      </c>
      <c r="C33" s="31">
        <f>CT*G$40</f>
        <v>1E-09</v>
      </c>
      <c r="D33" s="23" t="s">
        <v>29</v>
      </c>
      <c r="E33" s="11"/>
      <c r="F33" s="11"/>
      <c r="G33" s="33">
        <f>H32*1000+H33*1000000</f>
        <v>1000000</v>
      </c>
      <c r="H33" s="14">
        <f>IF(D$12="Meg",1,0)</f>
        <v>1</v>
      </c>
      <c r="I33" s="14" t="s">
        <v>2</v>
      </c>
      <c r="J33" s="10"/>
      <c r="K33" s="10"/>
      <c r="L33" s="8"/>
      <c r="M33" s="8"/>
      <c r="N33" s="8"/>
    </row>
    <row r="34" spans="1:14" ht="14.25" hidden="1">
      <c r="A34" s="11"/>
      <c r="B34" s="30" t="s">
        <v>80</v>
      </c>
      <c r="C34" s="54">
        <f>VDD*ResF/(ResA+ResF)</f>
        <v>2.302325581395349</v>
      </c>
      <c r="D34" s="23" t="s">
        <v>7</v>
      </c>
      <c r="E34" s="11"/>
      <c r="F34" s="11"/>
      <c r="G34" s="34"/>
      <c r="H34" s="34"/>
      <c r="I34" s="34"/>
      <c r="J34" s="10"/>
      <c r="K34" s="10"/>
      <c r="L34" s="8"/>
      <c r="M34" s="8"/>
      <c r="N34" s="8"/>
    </row>
    <row r="35" spans="3:14" ht="15" hidden="1">
      <c r="C35" s="22"/>
      <c r="E35" s="11"/>
      <c r="F35" s="11"/>
      <c r="G35" s="25" t="s">
        <v>46</v>
      </c>
      <c r="H35" s="14">
        <f>IF(D$13="K",1,0)</f>
        <v>1</v>
      </c>
      <c r="I35" s="14" t="s">
        <v>4</v>
      </c>
      <c r="J35" s="10"/>
      <c r="K35" s="10"/>
      <c r="L35" s="8"/>
      <c r="M35" s="8"/>
      <c r="N35" s="8"/>
    </row>
    <row r="36" spans="2:14" ht="15" hidden="1">
      <c r="B36" s="11"/>
      <c r="C36" s="32" t="s">
        <v>0</v>
      </c>
      <c r="D36" s="11"/>
      <c r="E36" s="34"/>
      <c r="F36" s="7"/>
      <c r="G36" s="33">
        <f>H35*1000+H36*1000000</f>
        <v>1000</v>
      </c>
      <c r="H36" s="14">
        <f>IF(D$13="Meg",1,0)</f>
        <v>0</v>
      </c>
      <c r="I36" s="14" t="s">
        <v>2</v>
      </c>
      <c r="J36" s="10"/>
      <c r="K36" s="10"/>
      <c r="L36" s="8"/>
      <c r="M36" s="8"/>
      <c r="N36" s="8"/>
    </row>
    <row r="37" spans="2:14" ht="14.25" hidden="1">
      <c r="B37" s="28" t="s">
        <v>73</v>
      </c>
      <c r="C37" s="22">
        <f>LN(2/3)-LN(1/3)</f>
        <v>0.6931471805599454</v>
      </c>
      <c r="D37" s="34" t="s">
        <v>74</v>
      </c>
      <c r="E37" s="34"/>
      <c r="F37" s="7"/>
      <c r="G37" s="79">
        <f>50/VDD^0.8</f>
        <v>20.762182326925288</v>
      </c>
      <c r="H37" s="34"/>
      <c r="I37" s="34"/>
      <c r="J37" s="10"/>
      <c r="K37" s="10"/>
      <c r="L37" s="8"/>
      <c r="M37" s="8"/>
      <c r="N37" s="8"/>
    </row>
    <row r="38" spans="2:14" ht="14.25" hidden="1">
      <c r="B38" s="28" t="s">
        <v>75</v>
      </c>
      <c r="C38" s="22">
        <f>LN(2/3)-LN(1-(2*VDD)/(3*VOC))</f>
        <v>1.624705384564889</v>
      </c>
      <c r="D38" s="34" t="s">
        <v>76</v>
      </c>
      <c r="E38" s="34"/>
      <c r="F38" s="7"/>
      <c r="G38" s="34"/>
      <c r="H38" s="14">
        <f>IF(D$15="pF",1,0)</f>
        <v>0</v>
      </c>
      <c r="I38" s="35" t="s">
        <v>5</v>
      </c>
      <c r="J38" s="10"/>
      <c r="K38" s="10"/>
      <c r="L38" s="8"/>
      <c r="M38" s="8"/>
      <c r="N38" s="8"/>
    </row>
    <row r="39" spans="2:14" ht="15" hidden="1">
      <c r="B39" s="28" t="s">
        <v>34</v>
      </c>
      <c r="C39" s="22">
        <f>LN(2/3)-LN(1/3)</f>
        <v>0.6931471805599454</v>
      </c>
      <c r="D39" s="34" t="s">
        <v>33</v>
      </c>
      <c r="E39" s="34"/>
      <c r="F39" s="34"/>
      <c r="G39" s="25" t="s">
        <v>47</v>
      </c>
      <c r="H39" s="14">
        <f>IF(D$15="nF",1,0)</f>
        <v>1</v>
      </c>
      <c r="I39" s="35" t="s">
        <v>15</v>
      </c>
      <c r="J39" s="10"/>
      <c r="K39" s="10"/>
      <c r="L39" s="8"/>
      <c r="M39" s="8"/>
      <c r="N39" s="8"/>
    </row>
    <row r="40" spans="2:14" ht="14.25" hidden="1">
      <c r="B40" s="11"/>
      <c r="C40" s="11"/>
      <c r="D40" s="11"/>
      <c r="E40" s="34"/>
      <c r="F40" s="34"/>
      <c r="G40" s="33">
        <f>H38*0.000000000001+H39*0.000000001+H40*0.000001</f>
        <v>1E-09</v>
      </c>
      <c r="H40" s="14">
        <f>IF(D$15="uF",1,0)</f>
        <v>0</v>
      </c>
      <c r="I40" s="35" t="s">
        <v>6</v>
      </c>
      <c r="J40" s="10"/>
      <c r="K40" s="10"/>
      <c r="L40" s="8"/>
      <c r="M40" s="8"/>
      <c r="N40" s="8"/>
    </row>
    <row r="41" spans="2:14" ht="14.25" hidden="1">
      <c r="B41" s="28" t="s">
        <v>73</v>
      </c>
      <c r="C41" s="36">
        <f>C37*(Res_PAF+ResB)*CapT+G62</f>
        <v>0.0006025648798810689</v>
      </c>
      <c r="D41" s="34" t="s">
        <v>35</v>
      </c>
      <c r="E41" s="34"/>
      <c r="F41" s="34"/>
      <c r="G41" s="34"/>
      <c r="H41" s="34"/>
      <c r="I41" s="34"/>
      <c r="J41" s="10"/>
      <c r="K41" s="10"/>
      <c r="L41" s="8"/>
      <c r="M41" s="8"/>
      <c r="N41" s="8"/>
    </row>
    <row r="42" spans="2:14" ht="14.25" hidden="1">
      <c r="B42" s="28" t="s">
        <v>75</v>
      </c>
      <c r="C42" s="36">
        <f>C38*(Res_PAF+ResB)*CapT+G62</f>
        <v>0.00141063746149466</v>
      </c>
      <c r="D42" s="34" t="s">
        <v>35</v>
      </c>
      <c r="E42" s="34"/>
      <c r="F42" s="34"/>
      <c r="G42" s="34"/>
      <c r="H42" s="35"/>
      <c r="I42" s="35"/>
      <c r="J42" s="10"/>
      <c r="K42" s="10"/>
      <c r="L42" s="8"/>
      <c r="M42" s="8"/>
      <c r="N42" s="8"/>
    </row>
    <row r="43" spans="2:14" ht="14.25" hidden="1">
      <c r="B43" s="28" t="s">
        <v>34</v>
      </c>
      <c r="C43" s="36">
        <f>C39*(ResB+G37)*CapT+G62</f>
        <v>7.062910930413674E-05</v>
      </c>
      <c r="D43" s="34" t="s">
        <v>36</v>
      </c>
      <c r="E43" s="34"/>
      <c r="F43" s="34"/>
      <c r="G43" s="34"/>
      <c r="H43" s="35">
        <f>IF(C16="10",10,0)</f>
        <v>0</v>
      </c>
      <c r="I43" s="35">
        <v>10</v>
      </c>
      <c r="J43" s="10"/>
      <c r="K43" s="10"/>
      <c r="L43" s="8"/>
      <c r="M43" s="8"/>
      <c r="N43" s="8"/>
    </row>
    <row r="44" spans="2:14" ht="14.25" hidden="1">
      <c r="B44" s="11"/>
      <c r="C44" s="11"/>
      <c r="D44" s="11"/>
      <c r="E44" s="34"/>
      <c r="F44" s="34"/>
      <c r="G44" s="34"/>
      <c r="H44" s="35">
        <f>IF(C16="100",100,0)</f>
        <v>100</v>
      </c>
      <c r="I44" s="35">
        <v>100</v>
      </c>
      <c r="J44" s="10"/>
      <c r="K44" s="10"/>
      <c r="L44" s="8"/>
      <c r="M44" s="8"/>
      <c r="N44" s="8"/>
    </row>
    <row r="45" spans="2:14" ht="14.25" hidden="1">
      <c r="B45" s="28" t="s">
        <v>72</v>
      </c>
      <c r="C45" s="36">
        <f>C41+C43</f>
        <v>0.0006731939891852056</v>
      </c>
      <c r="D45" s="34" t="s">
        <v>37</v>
      </c>
      <c r="E45" s="34"/>
      <c r="F45" s="34"/>
      <c r="G45" s="34"/>
      <c r="H45" s="35">
        <f>IF(C16="1K",1000,0)</f>
        <v>0</v>
      </c>
      <c r="I45" s="35" t="s">
        <v>11</v>
      </c>
      <c r="J45" s="10"/>
      <c r="K45" s="10"/>
      <c r="L45" s="8"/>
      <c r="M45" s="8"/>
      <c r="N45" s="8"/>
    </row>
    <row r="46" spans="2:14" ht="14.25" hidden="1">
      <c r="B46" s="28" t="s">
        <v>81</v>
      </c>
      <c r="C46" s="36">
        <f>C42+C43</f>
        <v>0.0014812665707987966</v>
      </c>
      <c r="D46" s="34" t="s">
        <v>37</v>
      </c>
      <c r="E46" s="34"/>
      <c r="F46" s="34"/>
      <c r="G46" s="34"/>
      <c r="H46" s="35">
        <f>IF(C16="10K",10000,0)</f>
        <v>0</v>
      </c>
      <c r="I46" s="35" t="s">
        <v>12</v>
      </c>
      <c r="J46" s="10"/>
      <c r="K46" s="10"/>
      <c r="L46" s="8"/>
      <c r="M46" s="8"/>
      <c r="N46" s="8"/>
    </row>
    <row r="47" spans="2:14" ht="15" hidden="1">
      <c r="B47" s="28" t="s">
        <v>54</v>
      </c>
      <c r="C47" s="36">
        <f>Mult*(C45+C46)/2</f>
        <v>0.10772302799920011</v>
      </c>
      <c r="D47" s="34" t="s">
        <v>19</v>
      </c>
      <c r="E47" s="34"/>
      <c r="F47" s="34"/>
      <c r="G47" s="25" t="s">
        <v>48</v>
      </c>
      <c r="H47" s="35">
        <f>IF(C16="100K",100000,0)</f>
        <v>0</v>
      </c>
      <c r="I47" s="35" t="s">
        <v>13</v>
      </c>
      <c r="J47" s="10"/>
      <c r="K47" s="10"/>
      <c r="L47" s="8"/>
      <c r="M47" s="8"/>
      <c r="N47" s="8"/>
    </row>
    <row r="48" spans="2:14" ht="14.25" hidden="1">
      <c r="B48" s="28" t="s">
        <v>54</v>
      </c>
      <c r="C48" s="36">
        <f>C47/G$56</f>
        <v>107.72302799920011</v>
      </c>
      <c r="D48" s="37" t="str">
        <f>D19</f>
        <v>msec</v>
      </c>
      <c r="E48" s="34"/>
      <c r="F48" s="34"/>
      <c r="G48" s="33">
        <f>SUM(H43:H48)</f>
        <v>100</v>
      </c>
      <c r="H48" s="35">
        <f>IF(C16="1M",1000000,0)</f>
        <v>0</v>
      </c>
      <c r="I48" s="35" t="s">
        <v>14</v>
      </c>
      <c r="J48" s="10"/>
      <c r="K48" s="10"/>
      <c r="L48" s="8"/>
      <c r="M48" s="8"/>
      <c r="N48" s="8"/>
    </row>
    <row r="49" spans="2:14" ht="14.25" hidden="1">
      <c r="B49" s="28" t="s">
        <v>50</v>
      </c>
      <c r="C49" s="42">
        <f>1/C47</f>
        <v>9.283066198319503</v>
      </c>
      <c r="D49" s="11" t="s">
        <v>51</v>
      </c>
      <c r="E49" s="34"/>
      <c r="F49" s="34"/>
      <c r="G49" s="34"/>
      <c r="H49" s="34"/>
      <c r="I49" s="34"/>
      <c r="J49" s="10"/>
      <c r="K49" s="10"/>
      <c r="L49" s="8"/>
      <c r="M49" s="8"/>
      <c r="N49" s="8"/>
    </row>
    <row r="50" spans="2:14" ht="15" hidden="1">
      <c r="B50" s="28" t="s">
        <v>52</v>
      </c>
      <c r="C50" s="43">
        <f>100*C45/(C45+C46)</f>
        <v>31.24652182958524</v>
      </c>
      <c r="D50" s="11" t="s">
        <v>53</v>
      </c>
      <c r="E50" s="34"/>
      <c r="F50" s="34"/>
      <c r="G50" s="25" t="s">
        <v>118</v>
      </c>
      <c r="H50" s="35">
        <f>IF(C$8="Low Volt",1,0)</f>
        <v>0</v>
      </c>
      <c r="I50" s="35" t="s">
        <v>133</v>
      </c>
      <c r="J50" s="10"/>
      <c r="K50" s="10"/>
      <c r="L50" s="8"/>
      <c r="M50" s="8"/>
      <c r="N50" s="8"/>
    </row>
    <row r="51" spans="2:14" ht="14.25" hidden="1">
      <c r="B51" s="34"/>
      <c r="C51" s="35"/>
      <c r="D51" s="34"/>
      <c r="E51" s="34"/>
      <c r="F51" s="34"/>
      <c r="G51" s="33">
        <f>H50*0.8*VDD+H51*VDD/3</f>
        <v>1</v>
      </c>
      <c r="H51" s="35">
        <f>IF(C$8="Standard",1,0)</f>
        <v>1</v>
      </c>
      <c r="I51" s="35" t="s">
        <v>78</v>
      </c>
      <c r="J51" s="10"/>
      <c r="K51" s="10"/>
      <c r="L51" s="8"/>
      <c r="M51" s="8"/>
      <c r="N51" s="8"/>
    </row>
    <row r="52" spans="2:14" ht="15" hidden="1">
      <c r="B52" s="26" t="s">
        <v>39</v>
      </c>
      <c r="C52" s="35"/>
      <c r="D52" s="34"/>
      <c r="E52" s="34"/>
      <c r="F52" s="34"/>
      <c r="G52" s="34"/>
      <c r="H52" s="14">
        <f>IF(D$19="usec",1,0)</f>
        <v>0</v>
      </c>
      <c r="I52" s="35" t="s">
        <v>67</v>
      </c>
      <c r="J52" s="10"/>
      <c r="K52" s="10"/>
      <c r="L52" s="8"/>
      <c r="M52" s="8"/>
      <c r="N52" s="8"/>
    </row>
    <row r="53" spans="2:14" ht="14.25" hidden="1">
      <c r="B53" s="28" t="s">
        <v>38</v>
      </c>
      <c r="C53" s="38">
        <f>VDD/7.5</f>
        <v>0.4</v>
      </c>
      <c r="D53" s="34" t="s">
        <v>27</v>
      </c>
      <c r="E53" s="34"/>
      <c r="F53" s="34"/>
      <c r="G53" s="34"/>
      <c r="H53" s="14">
        <f>IF(D$19="msec",1,0)</f>
        <v>1</v>
      </c>
      <c r="I53" s="35" t="s">
        <v>22</v>
      </c>
      <c r="J53" s="10"/>
      <c r="K53" s="10"/>
      <c r="L53" s="8"/>
      <c r="M53" s="8"/>
      <c r="N53" s="8"/>
    </row>
    <row r="54" spans="1:14" ht="14.25" hidden="1">
      <c r="A54" s="10"/>
      <c r="B54" s="28" t="s">
        <v>40</v>
      </c>
      <c r="C54" s="38">
        <f>IF(H$58,1.4+VDD/2.25,9.3+VDD/0.4)</f>
        <v>2.7333333333333334</v>
      </c>
      <c r="D54" s="34" t="s">
        <v>27</v>
      </c>
      <c r="E54" s="34"/>
      <c r="F54" s="34"/>
      <c r="G54" s="11"/>
      <c r="H54" s="14">
        <f>IF(D$19="sec",1,0)</f>
        <v>0</v>
      </c>
      <c r="I54" s="39" t="s">
        <v>19</v>
      </c>
      <c r="J54" s="10"/>
      <c r="K54" s="10"/>
      <c r="L54" s="8"/>
      <c r="M54" s="8"/>
      <c r="N54" s="8"/>
    </row>
    <row r="55" spans="1:14" ht="15" hidden="1">
      <c r="A55" s="10"/>
      <c r="B55" s="28" t="s">
        <v>41</v>
      </c>
      <c r="C55" s="38">
        <f>1000000*VDD/ResA</f>
        <v>3</v>
      </c>
      <c r="D55" s="34" t="s">
        <v>27</v>
      </c>
      <c r="E55" s="34"/>
      <c r="F55" s="34"/>
      <c r="G55" s="25" t="s">
        <v>49</v>
      </c>
      <c r="H55" s="14">
        <f>IF(D$19="min",1,0)</f>
        <v>0</v>
      </c>
      <c r="I55" s="39" t="s">
        <v>23</v>
      </c>
      <c r="J55" s="10"/>
      <c r="K55" s="10"/>
      <c r="L55" s="8"/>
      <c r="M55" s="8"/>
      <c r="N55" s="8"/>
    </row>
    <row r="56" spans="1:14" ht="14.25" hidden="1">
      <c r="A56" s="10"/>
      <c r="B56" s="28" t="s">
        <v>42</v>
      </c>
      <c r="C56" s="38">
        <f>1000000*Mult*(DeltaV*CapT+0.5*C43*VDD*(1/ResA+1/Res_PAF))/C47</f>
        <v>1.154805515227846</v>
      </c>
      <c r="D56" s="34" t="s">
        <v>27</v>
      </c>
      <c r="E56" s="34"/>
      <c r="F56" s="11"/>
      <c r="G56" s="41">
        <f>0.000001*H52+0.001*H53+H54+60*H55+3600*H56</f>
        <v>0.001</v>
      </c>
      <c r="H56" s="14">
        <f>IF(D$19="hours",1,0)</f>
        <v>0</v>
      </c>
      <c r="I56" s="39" t="s">
        <v>24</v>
      </c>
      <c r="J56" s="10"/>
      <c r="K56" s="10"/>
      <c r="L56" s="8"/>
      <c r="M56" s="8"/>
      <c r="N56" s="8"/>
    </row>
    <row r="57" spans="1:14" ht="14.25" hidden="1">
      <c r="A57" s="10"/>
      <c r="B57" s="28" t="s">
        <v>43</v>
      </c>
      <c r="C57" s="38">
        <f>C53+C54+C55</f>
        <v>6.133333333333333</v>
      </c>
      <c r="D57" s="34" t="s">
        <v>27</v>
      </c>
      <c r="E57" s="34"/>
      <c r="F57" s="11"/>
      <c r="G57" s="34"/>
      <c r="H57" s="34"/>
      <c r="I57" s="34"/>
      <c r="J57" s="10"/>
      <c r="K57" s="10"/>
      <c r="L57" s="8"/>
      <c r="M57" s="8"/>
      <c r="N57" s="8"/>
    </row>
    <row r="58" spans="1:14" ht="15" hidden="1">
      <c r="A58" s="10"/>
      <c r="B58" s="28" t="s">
        <v>44</v>
      </c>
      <c r="C58" s="40">
        <f>C53+C54+C56</f>
        <v>4.2881388485611796</v>
      </c>
      <c r="D58" s="34" t="s">
        <v>27</v>
      </c>
      <c r="E58" s="34"/>
      <c r="F58" s="11"/>
      <c r="G58" s="25" t="s">
        <v>119</v>
      </c>
      <c r="H58" s="14">
        <f>IF(C$7="Micro",1,0)</f>
        <v>1</v>
      </c>
      <c r="I58" s="35" t="s">
        <v>120</v>
      </c>
      <c r="J58" s="10"/>
      <c r="K58" s="10"/>
      <c r="L58" s="8"/>
      <c r="M58" s="8"/>
      <c r="N58" s="8"/>
    </row>
    <row r="59" spans="1:14" ht="14.25" hidden="1">
      <c r="A59" s="10"/>
      <c r="E59" s="11"/>
      <c r="F59" s="11"/>
      <c r="H59" s="14">
        <f>IF(C$7="Low",1,0)</f>
        <v>0</v>
      </c>
      <c r="I59" s="35" t="s">
        <v>121</v>
      </c>
      <c r="J59" s="10"/>
      <c r="K59" s="10"/>
      <c r="L59" s="8"/>
      <c r="M59" s="8"/>
      <c r="N59" s="8"/>
    </row>
    <row r="60" spans="1:14" ht="14.25" hidden="1">
      <c r="A60" s="10"/>
      <c r="E60" s="11"/>
      <c r="F60" s="11"/>
      <c r="G60" s="11"/>
      <c r="H60" s="11"/>
      <c r="I60" s="11"/>
      <c r="J60" s="10"/>
      <c r="K60" s="10"/>
      <c r="L60" s="8"/>
      <c r="M60" s="8"/>
      <c r="N60" s="8"/>
    </row>
    <row r="61" spans="1:11" ht="15" hidden="1">
      <c r="A61" s="10"/>
      <c r="E61" s="11"/>
      <c r="F61" s="11"/>
      <c r="G61" s="25" t="s">
        <v>122</v>
      </c>
      <c r="H61" s="11"/>
      <c r="I61" s="11"/>
      <c r="J61" s="10"/>
      <c r="K61" s="10"/>
    </row>
    <row r="62" spans="1:11" ht="14.25" hidden="1">
      <c r="A62" s="10"/>
      <c r="E62" s="11"/>
      <c r="F62" s="11"/>
      <c r="G62" s="72">
        <f>H58*0.0000013+H59*0.0000003</f>
        <v>1.3E-06</v>
      </c>
      <c r="H62" s="11"/>
      <c r="I62" s="11"/>
      <c r="J62" s="10"/>
      <c r="K62" s="10"/>
    </row>
    <row r="63" spans="1:11" ht="14.25" hidden="1">
      <c r="A63" s="10"/>
      <c r="E63" s="11"/>
      <c r="F63" s="11"/>
      <c r="G63" s="11"/>
      <c r="H63" s="11"/>
      <c r="I63" s="11"/>
      <c r="J63" s="10"/>
      <c r="K63" s="10"/>
    </row>
    <row r="64" spans="1:11" ht="14.25" hidden="1">
      <c r="A64" s="10"/>
      <c r="E64" s="11"/>
      <c r="F64" s="11"/>
      <c r="G64" s="11"/>
      <c r="H64" s="11"/>
      <c r="I64" s="11"/>
      <c r="J64" s="10"/>
      <c r="K64" s="10"/>
    </row>
    <row r="65" spans="1:11" ht="14.25">
      <c r="A65" s="10"/>
      <c r="E65" s="11"/>
      <c r="F65" s="11"/>
      <c r="G65" s="11"/>
      <c r="H65" s="11"/>
      <c r="I65" s="11"/>
      <c r="J65" s="10"/>
      <c r="K65" s="10"/>
    </row>
    <row r="66" spans="1:11" ht="14.25">
      <c r="A66" s="10"/>
      <c r="E66" s="11"/>
      <c r="F66" s="11"/>
      <c r="G66" s="11"/>
      <c r="H66" s="11"/>
      <c r="I66" s="11"/>
      <c r="J66" s="10"/>
      <c r="K66" s="10"/>
    </row>
    <row r="67" spans="1:11" ht="14.25">
      <c r="A67" s="10"/>
      <c r="E67" s="11"/>
      <c r="F67" s="11"/>
      <c r="G67" s="11"/>
      <c r="H67" s="11"/>
      <c r="I67" s="11"/>
      <c r="J67" s="10"/>
      <c r="K67" s="10"/>
    </row>
    <row r="68" spans="1:11" ht="14.25">
      <c r="A68" s="10"/>
      <c r="E68" s="11"/>
      <c r="F68" s="11"/>
      <c r="G68" s="11"/>
      <c r="H68" s="11"/>
      <c r="I68" s="11"/>
      <c r="J68" s="10"/>
      <c r="K68" s="10"/>
    </row>
    <row r="69" spans="1:11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</sheetData>
  <sheetProtection password="8441" sheet="1" objects="1" scenarios="1"/>
  <mergeCells count="3">
    <mergeCell ref="B5:C5"/>
    <mergeCell ref="B18:C18"/>
    <mergeCell ref="B11:C11"/>
  </mergeCells>
  <printOptions horizontalCentered="1"/>
  <pageMargins left="0.5" right="0.5" top="1" bottom="0.75" header="0.5" footer="0.5"/>
  <pageSetup horizontalDpi="300" verticalDpi="300" orientation="landscape" r:id="rId4"/>
  <headerFooter alignWithMargins="0">
    <oddFooter>&amp;LCSS/F.Bohac&amp;R&amp;F</oddFooter>
  </headerFooter>
  <rowBreaks count="2" manualBreakCount="2">
    <brk id="27" max="255" man="1"/>
    <brk id="69" max="255" man="1"/>
  </rowBreaks>
  <colBreaks count="1" manualBreakCount="1">
    <brk id="10" max="65535" man="1"/>
  </colBreaks>
  <drawing r:id="rId3"/>
  <legacyDrawing r:id="rId2"/>
  <oleObjects>
    <oleObject progId="MSDraw" shapeId="2162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84"/>
  <sheetViews>
    <sheetView showGridLines="0" showRowColHeaders="0" workbookViewId="0" topLeftCell="A1">
      <selection activeCell="A3" sqref="A3"/>
    </sheetView>
  </sheetViews>
  <sheetFormatPr defaultColWidth="9.00390625" defaultRowHeight="14.25"/>
  <cols>
    <col min="1" max="1" width="3.125" style="0" customWidth="1"/>
    <col min="2" max="2" width="20.625" style="0" customWidth="1"/>
    <col min="3" max="3" width="13.125" style="0" customWidth="1"/>
    <col min="4" max="4" width="7.125" style="0" customWidth="1"/>
    <col min="5" max="7" width="10.625" style="0" customWidth="1"/>
    <col min="8" max="8" width="10.75390625" style="0" customWidth="1"/>
    <col min="9" max="12" width="10.625" style="0" customWidth="1"/>
  </cols>
  <sheetData>
    <row r="1" spans="3:12" ht="28.5" customHeight="1">
      <c r="C1" s="27" t="s">
        <v>88</v>
      </c>
      <c r="J1" s="52">
        <v>40150</v>
      </c>
      <c r="L1" s="4"/>
    </row>
    <row r="2" spans="1:3" ht="22.5" customHeight="1">
      <c r="A2" s="2"/>
      <c r="C2" s="24" t="s">
        <v>98</v>
      </c>
    </row>
    <row r="3" spans="1:9" ht="14.25" customHeight="1">
      <c r="A3" s="2"/>
      <c r="C3" s="24" t="s">
        <v>110</v>
      </c>
      <c r="H3" s="19" t="s">
        <v>16</v>
      </c>
      <c r="I3" s="20" t="s">
        <v>55</v>
      </c>
    </row>
    <row r="4" spans="8:9" ht="14.25">
      <c r="H4" s="21" t="s">
        <v>17</v>
      </c>
      <c r="I4" s="20" t="s">
        <v>18</v>
      </c>
    </row>
    <row r="5" spans="2:9" ht="19.5" customHeight="1">
      <c r="B5" s="80" t="s">
        <v>20</v>
      </c>
      <c r="C5" s="80"/>
      <c r="H5" s="74" t="s">
        <v>124</v>
      </c>
      <c r="I5" s="20" t="s">
        <v>123</v>
      </c>
    </row>
    <row r="6" spans="2:12" ht="18" customHeight="1">
      <c r="B6" s="63" t="s">
        <v>9</v>
      </c>
      <c r="C6" s="73" t="s">
        <v>0</v>
      </c>
      <c r="E6" s="3"/>
      <c r="K6" s="13"/>
      <c r="L6" s="13"/>
    </row>
    <row r="7" spans="2:12" ht="18" customHeight="1">
      <c r="B7" s="63" t="s">
        <v>117</v>
      </c>
      <c r="C7" s="69" t="s">
        <v>120</v>
      </c>
      <c r="E7" s="3"/>
      <c r="K7" s="13"/>
      <c r="L7" s="13"/>
    </row>
    <row r="8" spans="2:12" ht="18" customHeight="1">
      <c r="B8" s="63" t="s">
        <v>79</v>
      </c>
      <c r="C8" s="73" t="s">
        <v>78</v>
      </c>
      <c r="E8" s="3"/>
      <c r="K8" s="13"/>
      <c r="L8" s="13"/>
    </row>
    <row r="9" spans="2:6" ht="18" customHeight="1">
      <c r="B9" s="63" t="s">
        <v>8</v>
      </c>
      <c r="C9" s="64">
        <v>3</v>
      </c>
      <c r="D9" s="17" t="s">
        <v>7</v>
      </c>
      <c r="E9" s="70">
        <f>IF(VDD&lt;1.8,"VDD too low!",IF(VDD&gt;6,"VDD too High!",""))</f>
      </c>
      <c r="F9" s="46"/>
    </row>
    <row r="10" spans="2:5" ht="15" customHeight="1">
      <c r="B10" s="6"/>
      <c r="C10" s="9"/>
      <c r="D10" s="5"/>
      <c r="E10" s="3"/>
    </row>
    <row r="11" spans="2:4" ht="19.5" customHeight="1">
      <c r="B11" s="80" t="s">
        <v>1</v>
      </c>
      <c r="C11" s="80"/>
      <c r="D11" s="71" t="s">
        <v>3</v>
      </c>
    </row>
    <row r="12" spans="2:6" ht="18" customHeight="1">
      <c r="B12" s="63" t="s">
        <v>30</v>
      </c>
      <c r="C12" s="64">
        <v>3.3</v>
      </c>
      <c r="D12" s="48" t="s">
        <v>2</v>
      </c>
      <c r="E12" s="16"/>
      <c r="F12" s="7"/>
    </row>
    <row r="13" spans="2:6" ht="18" customHeight="1">
      <c r="B13" s="63" t="s">
        <v>31</v>
      </c>
      <c r="C13" s="64">
        <v>100</v>
      </c>
      <c r="D13" s="49" t="s">
        <v>4</v>
      </c>
      <c r="E13" s="3"/>
      <c r="F13" s="7"/>
    </row>
    <row r="14" spans="2:6" ht="18" customHeight="1">
      <c r="B14" s="63" t="s">
        <v>69</v>
      </c>
      <c r="C14" s="64">
        <v>100</v>
      </c>
      <c r="D14" s="49" t="s">
        <v>4</v>
      </c>
      <c r="E14" s="3"/>
      <c r="F14" s="7"/>
    </row>
    <row r="15" spans="2:7" ht="18" customHeight="1">
      <c r="B15" s="63" t="s">
        <v>32</v>
      </c>
      <c r="C15" s="64">
        <v>1</v>
      </c>
      <c r="D15" s="48" t="s">
        <v>15</v>
      </c>
      <c r="E15" s="16"/>
      <c r="F15" s="7"/>
      <c r="G15" s="12"/>
    </row>
    <row r="16" spans="2:7" ht="18" customHeight="1">
      <c r="B16" s="63" t="s">
        <v>10</v>
      </c>
      <c r="C16" s="67" t="s">
        <v>82</v>
      </c>
      <c r="D16" s="15"/>
      <c r="E16" s="16"/>
      <c r="F16" s="7"/>
      <c r="G16" s="12"/>
    </row>
    <row r="17" spans="2:5" ht="15" customHeight="1">
      <c r="B17" s="1"/>
      <c r="C17" s="3"/>
      <c r="E17" s="3"/>
    </row>
    <row r="18" spans="2:5" ht="19.5" customHeight="1">
      <c r="B18" s="80" t="s">
        <v>21</v>
      </c>
      <c r="C18" s="80"/>
      <c r="D18" s="71" t="s">
        <v>3</v>
      </c>
      <c r="E18" s="3"/>
    </row>
    <row r="19" spans="2:5" ht="18" customHeight="1">
      <c r="B19" s="59" t="s">
        <v>54</v>
      </c>
      <c r="C19" s="60">
        <f>C48</f>
        <v>133.0321312106419</v>
      </c>
      <c r="D19" s="50" t="s">
        <v>22</v>
      </c>
      <c r="E19" s="45"/>
    </row>
    <row r="20" spans="2:5" ht="18" customHeight="1">
      <c r="B20" s="59" t="s">
        <v>70</v>
      </c>
      <c r="C20" s="60">
        <f>C49</f>
        <v>7.516980979704887</v>
      </c>
      <c r="D20" s="17" t="s">
        <v>51</v>
      </c>
      <c r="E20" s="46"/>
    </row>
    <row r="21" spans="2:9" ht="18" customHeight="1">
      <c r="B21" s="59" t="s">
        <v>83</v>
      </c>
      <c r="C21" s="60">
        <f>C19*(100-C23)/100</f>
        <v>121.4314761603976</v>
      </c>
      <c r="D21" s="17" t="str">
        <f>D19</f>
        <v>msec</v>
      </c>
      <c r="E21" s="46"/>
      <c r="H21" s="56" t="s">
        <v>85</v>
      </c>
      <c r="I21" s="71" t="s">
        <v>3</v>
      </c>
    </row>
    <row r="22" spans="2:9" ht="18" customHeight="1">
      <c r="B22" s="59" t="s">
        <v>84</v>
      </c>
      <c r="C22" s="60">
        <f>C19*C23/100</f>
        <v>11.600655050244304</v>
      </c>
      <c r="D22" s="17" t="str">
        <f>D19</f>
        <v>msec</v>
      </c>
      <c r="E22" s="46"/>
      <c r="G22" s="59" t="s">
        <v>25</v>
      </c>
      <c r="H22" s="60">
        <f>C57</f>
        <v>4.042424242424242</v>
      </c>
      <c r="I22" s="17" t="s">
        <v>86</v>
      </c>
    </row>
    <row r="23" spans="2:9" ht="18" customHeight="1">
      <c r="B23" s="59" t="s">
        <v>71</v>
      </c>
      <c r="C23" s="62">
        <f>C50</f>
        <v>8.720190336480387</v>
      </c>
      <c r="D23" s="17" t="s">
        <v>53</v>
      </c>
      <c r="E23" s="45"/>
      <c r="G23" s="59" t="s">
        <v>26</v>
      </c>
      <c r="H23" s="60">
        <f>C58</f>
        <v>4.517306112522939</v>
      </c>
      <c r="I23" s="17" t="s">
        <v>87</v>
      </c>
    </row>
    <row r="24" spans="2:8" ht="16.5" customHeight="1">
      <c r="B24" s="47"/>
      <c r="C24" s="34"/>
      <c r="D24" s="34"/>
      <c r="H24" s="57"/>
    </row>
    <row r="25" ht="15" customHeight="1"/>
    <row r="26" spans="6:14" ht="15" customHeight="1">
      <c r="F26" s="10"/>
      <c r="G26" s="10"/>
      <c r="H26" s="10"/>
      <c r="I26" s="10"/>
      <c r="J26" s="10"/>
      <c r="K26" s="10"/>
      <c r="L26" s="8"/>
      <c r="M26" s="8"/>
      <c r="N26" s="8"/>
    </row>
    <row r="27" spans="1:14" ht="15" customHeight="1">
      <c r="A27" s="10"/>
      <c r="B27" s="44"/>
      <c r="C27" s="29"/>
      <c r="D27" s="18"/>
      <c r="F27" s="10"/>
      <c r="G27" s="10"/>
      <c r="H27" s="10"/>
      <c r="I27" s="10"/>
      <c r="K27" s="10"/>
      <c r="L27" s="8"/>
      <c r="M27" s="8"/>
      <c r="N27" s="8"/>
    </row>
    <row r="28" spans="1:14" ht="14.25" hidden="1">
      <c r="A28" s="10"/>
      <c r="F28" s="11"/>
      <c r="G28" s="11"/>
      <c r="H28" s="11"/>
      <c r="I28" s="11"/>
      <c r="J28" s="10"/>
      <c r="K28" s="10"/>
      <c r="L28" s="8"/>
      <c r="M28" s="8"/>
      <c r="N28" s="8"/>
    </row>
    <row r="29" spans="1:14" ht="15" hidden="1">
      <c r="A29" s="10"/>
      <c r="B29" s="30" t="s">
        <v>69</v>
      </c>
      <c r="C29" s="31">
        <f>RF*G$30</f>
        <v>100000</v>
      </c>
      <c r="D29" s="11" t="s">
        <v>28</v>
      </c>
      <c r="E29" s="11"/>
      <c r="F29" s="11"/>
      <c r="G29" s="25" t="s">
        <v>68</v>
      </c>
      <c r="H29" s="14">
        <f>IF(D$14="K",1,0)</f>
        <v>1</v>
      </c>
      <c r="I29" s="14" t="s">
        <v>4</v>
      </c>
      <c r="J29" s="10"/>
      <c r="K29" s="10"/>
      <c r="L29" s="8"/>
      <c r="M29" s="8"/>
      <c r="N29" s="8"/>
    </row>
    <row r="30" spans="1:14" ht="14.25" hidden="1">
      <c r="A30" s="10"/>
      <c r="B30" s="30" t="s">
        <v>30</v>
      </c>
      <c r="C30" s="31">
        <f>RA*G$33</f>
        <v>3300000</v>
      </c>
      <c r="D30" s="11" t="s">
        <v>28</v>
      </c>
      <c r="E30" s="11"/>
      <c r="F30" s="11"/>
      <c r="G30" s="33">
        <f>H29*1000+H30*1000000</f>
        <v>1000</v>
      </c>
      <c r="H30" s="14">
        <f>IF(D$14="Meg",1,0)</f>
        <v>0</v>
      </c>
      <c r="I30" s="14" t="s">
        <v>2</v>
      </c>
      <c r="J30" s="10"/>
      <c r="K30" s="10"/>
      <c r="L30" s="8"/>
      <c r="M30" s="8"/>
      <c r="N30" s="8"/>
    </row>
    <row r="31" spans="1:14" ht="14.25" hidden="1">
      <c r="A31" s="10"/>
      <c r="B31" s="30" t="s">
        <v>31</v>
      </c>
      <c r="C31" s="31">
        <f>RB*G$36</f>
        <v>100000</v>
      </c>
      <c r="D31" s="23" t="s">
        <v>28</v>
      </c>
      <c r="E31" s="11"/>
      <c r="F31" s="11"/>
      <c r="G31" s="7"/>
      <c r="H31" s="7"/>
      <c r="I31" s="7"/>
      <c r="J31" s="10"/>
      <c r="K31" s="10"/>
      <c r="L31" s="8"/>
      <c r="M31" s="8"/>
      <c r="N31" s="8"/>
    </row>
    <row r="32" spans="1:14" ht="15" hidden="1">
      <c r="A32" s="10"/>
      <c r="B32" s="30" t="s">
        <v>77</v>
      </c>
      <c r="C32" s="53">
        <f>(ResA*C34*ResF)/(ResA+(C34*ResF))</f>
        <v>130952.38095238096</v>
      </c>
      <c r="D32" s="23" t="s">
        <v>28</v>
      </c>
      <c r="E32" s="11"/>
      <c r="F32" s="11"/>
      <c r="G32" s="25" t="s">
        <v>45</v>
      </c>
      <c r="H32" s="14">
        <f>IF(D$12="K",1,0)</f>
        <v>0</v>
      </c>
      <c r="I32" s="14" t="s">
        <v>4</v>
      </c>
      <c r="J32" s="10"/>
      <c r="K32" s="10"/>
      <c r="L32" s="8"/>
      <c r="M32" s="8"/>
      <c r="N32" s="8"/>
    </row>
    <row r="33" spans="1:14" ht="14.25" hidden="1">
      <c r="A33" s="10"/>
      <c r="B33" s="30" t="s">
        <v>32</v>
      </c>
      <c r="C33" s="31">
        <f>CT*G$40</f>
        <v>1E-09</v>
      </c>
      <c r="D33" s="23" t="s">
        <v>29</v>
      </c>
      <c r="E33" s="11"/>
      <c r="F33" s="11"/>
      <c r="G33" s="33">
        <f>H32*1000+H33*1000000</f>
        <v>1000000</v>
      </c>
      <c r="H33" s="14">
        <f>IF(D$12="Meg",1,0)</f>
        <v>1</v>
      </c>
      <c r="I33" s="14" t="s">
        <v>2</v>
      </c>
      <c r="J33" s="10"/>
      <c r="K33" s="10"/>
      <c r="L33" s="8"/>
      <c r="M33" s="8"/>
      <c r="N33" s="8"/>
    </row>
    <row r="34" spans="1:14" ht="14.25" hidden="1">
      <c r="A34" s="11"/>
      <c r="B34" s="30" t="s">
        <v>99</v>
      </c>
      <c r="C34" s="58">
        <f>VDD/(VDD-0.8)</f>
        <v>1.3636363636363635</v>
      </c>
      <c r="D34" s="23"/>
      <c r="E34" s="11"/>
      <c r="F34" s="11"/>
      <c r="G34" s="34"/>
      <c r="H34" s="34"/>
      <c r="I34" s="34"/>
      <c r="J34" s="10"/>
      <c r="K34" s="10"/>
      <c r="L34" s="8"/>
      <c r="M34" s="8"/>
      <c r="N34" s="8"/>
    </row>
    <row r="35" spans="3:14" ht="15" hidden="1">
      <c r="C35" s="58"/>
      <c r="E35" s="11"/>
      <c r="F35" s="11"/>
      <c r="G35" s="25" t="s">
        <v>46</v>
      </c>
      <c r="H35" s="14">
        <f>IF(D$13="K",1,0)</f>
        <v>1</v>
      </c>
      <c r="I35" s="14" t="s">
        <v>4</v>
      </c>
      <c r="J35" s="10"/>
      <c r="K35" s="10"/>
      <c r="L35" s="8"/>
      <c r="M35" s="8"/>
      <c r="N35" s="8"/>
    </row>
    <row r="36" spans="2:14" ht="15" hidden="1">
      <c r="B36" s="11"/>
      <c r="C36" s="32" t="s">
        <v>0</v>
      </c>
      <c r="D36" s="11"/>
      <c r="E36" s="34"/>
      <c r="F36" s="7"/>
      <c r="G36" s="33">
        <f>H35*1000+H36*1000000</f>
        <v>1000</v>
      </c>
      <c r="H36" s="14">
        <f>IF(D$13="Meg",1,0)</f>
        <v>0</v>
      </c>
      <c r="I36" s="14" t="s">
        <v>2</v>
      </c>
      <c r="J36" s="10"/>
      <c r="K36" s="10"/>
      <c r="L36" s="8"/>
      <c r="M36" s="8"/>
      <c r="N36" s="8"/>
    </row>
    <row r="37" spans="2:14" ht="14.25" hidden="1">
      <c r="B37" s="28" t="s">
        <v>73</v>
      </c>
      <c r="C37" s="22">
        <f>LN(2/3)-LN(1/3)</f>
        <v>0.6931471805599454</v>
      </c>
      <c r="D37" s="34" t="s">
        <v>74</v>
      </c>
      <c r="E37" s="34"/>
      <c r="F37" s="7"/>
      <c r="G37" s="79">
        <f>50/VDD^0.8</f>
        <v>20.762182326925288</v>
      </c>
      <c r="H37" s="34"/>
      <c r="I37" s="34"/>
      <c r="J37" s="10"/>
      <c r="K37" s="10"/>
      <c r="L37" s="8"/>
      <c r="M37" s="8"/>
      <c r="N37" s="8"/>
    </row>
    <row r="38" spans="2:14" ht="14.25" hidden="1">
      <c r="B38" s="28" t="s">
        <v>75</v>
      </c>
      <c r="C38" s="22">
        <f>LN(2/3)-LN(1/3)</f>
        <v>0.6931471805599454</v>
      </c>
      <c r="D38" s="34" t="s">
        <v>76</v>
      </c>
      <c r="E38" s="34"/>
      <c r="F38" s="7"/>
      <c r="G38" s="34"/>
      <c r="H38" s="14">
        <f>IF(D$15="pF",1,0)</f>
        <v>0</v>
      </c>
      <c r="I38" s="35" t="s">
        <v>5</v>
      </c>
      <c r="J38" s="10"/>
      <c r="K38" s="10"/>
      <c r="L38" s="8"/>
      <c r="M38" s="8"/>
      <c r="N38" s="8"/>
    </row>
    <row r="39" spans="2:14" ht="15" hidden="1">
      <c r="B39" s="28" t="s">
        <v>34</v>
      </c>
      <c r="C39" s="22">
        <f>LN(2/3)-LN(1/3)</f>
        <v>0.6931471805599454</v>
      </c>
      <c r="D39" s="34" t="s">
        <v>33</v>
      </c>
      <c r="E39" s="34"/>
      <c r="F39" s="34"/>
      <c r="G39" s="25" t="s">
        <v>47</v>
      </c>
      <c r="H39" s="14">
        <f>IF(D$15="nF",1,0)</f>
        <v>1</v>
      </c>
      <c r="I39" s="35" t="s">
        <v>15</v>
      </c>
      <c r="J39" s="10"/>
      <c r="K39" s="10"/>
      <c r="L39" s="8"/>
      <c r="M39" s="8"/>
      <c r="N39" s="8"/>
    </row>
    <row r="40" spans="2:14" ht="14.25" hidden="1">
      <c r="B40" s="11"/>
      <c r="C40" s="11"/>
      <c r="D40" s="11"/>
      <c r="E40" s="34"/>
      <c r="F40" s="34"/>
      <c r="G40" s="33">
        <f>H38*0.000000000001+H39*0.000000001+H40*0.000001</f>
        <v>1E-09</v>
      </c>
      <c r="H40" s="14">
        <f>IF(D$15="uF",1,0)</f>
        <v>0</v>
      </c>
      <c r="I40" s="35" t="s">
        <v>6</v>
      </c>
      <c r="J40" s="10"/>
      <c r="K40" s="10"/>
      <c r="L40" s="8"/>
      <c r="M40" s="8"/>
      <c r="N40" s="8"/>
    </row>
    <row r="41" spans="2:14" ht="14.25" hidden="1">
      <c r="B41" s="28" t="s">
        <v>73</v>
      </c>
      <c r="C41" s="36">
        <f>C37*(Res_PAF+ResB)*CapT+G62</f>
        <v>0.0001613839917007493</v>
      </c>
      <c r="D41" s="34" t="s">
        <v>35</v>
      </c>
      <c r="E41" s="34"/>
      <c r="F41" s="34"/>
      <c r="G41" s="34"/>
      <c r="H41" s="34"/>
      <c r="I41" s="34"/>
      <c r="J41" s="10"/>
      <c r="K41" s="10"/>
      <c r="L41" s="8"/>
      <c r="M41" s="8"/>
      <c r="N41" s="8"/>
    </row>
    <row r="42" spans="2:14" ht="14.25" hidden="1">
      <c r="B42" s="28" t="s">
        <v>75</v>
      </c>
      <c r="C42" s="36">
        <f>C38*(ResA+ResB)*CapT+G62</f>
        <v>0.0023580004139038147</v>
      </c>
      <c r="D42" s="34" t="s">
        <v>35</v>
      </c>
      <c r="E42" s="34"/>
      <c r="F42" s="34"/>
      <c r="G42" s="34"/>
      <c r="H42" s="35"/>
      <c r="I42" s="35"/>
      <c r="J42" s="10"/>
      <c r="K42" s="10"/>
      <c r="L42" s="8"/>
      <c r="M42" s="8"/>
      <c r="N42" s="8"/>
    </row>
    <row r="43" spans="2:14" ht="14.25" hidden="1">
      <c r="B43" s="28" t="s">
        <v>34</v>
      </c>
      <c r="C43" s="36">
        <f>C39*(ResB+G37)*CapT+G62</f>
        <v>7.062910930413674E-05</v>
      </c>
      <c r="D43" s="34" t="s">
        <v>36</v>
      </c>
      <c r="E43" s="34"/>
      <c r="F43" s="34"/>
      <c r="G43" s="34"/>
      <c r="H43" s="35">
        <f>IF(C16="10",10,0)</f>
        <v>0</v>
      </c>
      <c r="I43" s="35">
        <v>10</v>
      </c>
      <c r="J43" s="10"/>
      <c r="K43" s="10"/>
      <c r="L43" s="8"/>
      <c r="M43" s="8"/>
      <c r="N43" s="8"/>
    </row>
    <row r="44" spans="2:14" ht="14.25" hidden="1">
      <c r="B44" s="11"/>
      <c r="C44" s="11"/>
      <c r="D44" s="11"/>
      <c r="E44" s="34"/>
      <c r="F44" s="34"/>
      <c r="G44" s="34"/>
      <c r="H44" s="35">
        <f>IF(C16="100",100,0)</f>
        <v>100</v>
      </c>
      <c r="I44" s="35">
        <v>100</v>
      </c>
      <c r="J44" s="10"/>
      <c r="K44" s="10"/>
      <c r="L44" s="8"/>
      <c r="M44" s="8"/>
      <c r="N44" s="8"/>
    </row>
    <row r="45" spans="2:14" ht="14.25" hidden="1">
      <c r="B45" s="28" t="s">
        <v>72</v>
      </c>
      <c r="C45" s="36">
        <f>C41+C43</f>
        <v>0.00023201310100488603</v>
      </c>
      <c r="D45" s="34" t="s">
        <v>37</v>
      </c>
      <c r="E45" s="34"/>
      <c r="F45" s="34"/>
      <c r="G45" s="34"/>
      <c r="H45" s="35">
        <f>IF(C16="1K",1000,0)</f>
        <v>0</v>
      </c>
      <c r="I45" s="35" t="s">
        <v>11</v>
      </c>
      <c r="J45" s="10"/>
      <c r="K45" s="10"/>
      <c r="L45" s="8"/>
      <c r="M45" s="8"/>
      <c r="N45" s="8"/>
    </row>
    <row r="46" spans="2:14" ht="14.25" hidden="1">
      <c r="B46" s="28" t="s">
        <v>81</v>
      </c>
      <c r="C46" s="36">
        <f>C42+C43</f>
        <v>0.0024286295232079516</v>
      </c>
      <c r="D46" s="34" t="s">
        <v>37</v>
      </c>
      <c r="E46" s="34"/>
      <c r="F46" s="34"/>
      <c r="G46" s="34"/>
      <c r="H46" s="35">
        <f>IF(C16="10K",10000,0)</f>
        <v>0</v>
      </c>
      <c r="I46" s="35" t="s">
        <v>12</v>
      </c>
      <c r="J46" s="10"/>
      <c r="K46" s="10"/>
      <c r="L46" s="8"/>
      <c r="M46" s="8"/>
      <c r="N46" s="8"/>
    </row>
    <row r="47" spans="2:14" ht="15" hidden="1">
      <c r="B47" s="28" t="s">
        <v>54</v>
      </c>
      <c r="C47" s="36">
        <f>Mult*(C45+C46)/2</f>
        <v>0.1330321312106419</v>
      </c>
      <c r="D47" s="34" t="s">
        <v>19</v>
      </c>
      <c r="E47" s="34"/>
      <c r="F47" s="34"/>
      <c r="G47" s="25" t="s">
        <v>48</v>
      </c>
      <c r="H47" s="35">
        <f>IF(C16="100K",100000,0)</f>
        <v>0</v>
      </c>
      <c r="I47" s="35" t="s">
        <v>13</v>
      </c>
      <c r="J47" s="10"/>
      <c r="K47" s="10"/>
      <c r="L47" s="8"/>
      <c r="M47" s="8"/>
      <c r="N47" s="8"/>
    </row>
    <row r="48" spans="2:14" ht="14.25" hidden="1">
      <c r="B48" s="28" t="s">
        <v>54</v>
      </c>
      <c r="C48" s="36">
        <f>C47/G$56</f>
        <v>133.0321312106419</v>
      </c>
      <c r="D48" s="37" t="str">
        <f>D19</f>
        <v>msec</v>
      </c>
      <c r="E48" s="34"/>
      <c r="F48" s="34"/>
      <c r="G48" s="33">
        <f>SUM(H43:H48)</f>
        <v>100</v>
      </c>
      <c r="H48" s="35">
        <f>IF(C16="1M",1000000,0)</f>
        <v>0</v>
      </c>
      <c r="I48" s="35" t="s">
        <v>14</v>
      </c>
      <c r="J48" s="10"/>
      <c r="K48" s="10"/>
      <c r="L48" s="8"/>
      <c r="M48" s="8"/>
      <c r="N48" s="8"/>
    </row>
    <row r="49" spans="2:14" ht="14.25" hidden="1">
      <c r="B49" s="28" t="s">
        <v>50</v>
      </c>
      <c r="C49" s="42">
        <f>1/C47</f>
        <v>7.516980979704887</v>
      </c>
      <c r="D49" s="11" t="s">
        <v>51</v>
      </c>
      <c r="E49" s="34"/>
      <c r="F49" s="34"/>
      <c r="G49" s="34"/>
      <c r="H49" s="34"/>
      <c r="I49" s="34"/>
      <c r="J49" s="10"/>
      <c r="K49" s="10"/>
      <c r="L49" s="8"/>
      <c r="M49" s="8"/>
      <c r="N49" s="8"/>
    </row>
    <row r="50" spans="2:14" ht="15" hidden="1">
      <c r="B50" s="28" t="s">
        <v>52</v>
      </c>
      <c r="C50" s="43">
        <f>100*C45/(C45+C46)</f>
        <v>8.720190336480387</v>
      </c>
      <c r="D50" s="11" t="s">
        <v>53</v>
      </c>
      <c r="E50" s="34"/>
      <c r="F50" s="34"/>
      <c r="G50" s="25" t="s">
        <v>118</v>
      </c>
      <c r="H50" s="35">
        <f>IF(C$8="Low Volt",1,0)</f>
        <v>0</v>
      </c>
      <c r="I50" s="35" t="s">
        <v>133</v>
      </c>
      <c r="J50" s="10"/>
      <c r="K50" s="10"/>
      <c r="L50" s="8"/>
      <c r="M50" s="8"/>
      <c r="N50" s="8"/>
    </row>
    <row r="51" spans="2:14" ht="14.25" hidden="1">
      <c r="B51" s="34"/>
      <c r="C51" s="35"/>
      <c r="D51" s="34"/>
      <c r="E51" s="34"/>
      <c r="F51" s="34"/>
      <c r="G51" s="33">
        <f>H50*0.8*VDD+H51*VDD/3</f>
        <v>1</v>
      </c>
      <c r="H51" s="35">
        <f>IF(C$8="Standard",1,0)</f>
        <v>1</v>
      </c>
      <c r="I51" s="35" t="s">
        <v>78</v>
      </c>
      <c r="J51" s="10"/>
      <c r="K51" s="10"/>
      <c r="L51" s="8"/>
      <c r="M51" s="8"/>
      <c r="N51" s="8"/>
    </row>
    <row r="52" spans="2:14" ht="15" hidden="1">
      <c r="B52" s="26" t="s">
        <v>39</v>
      </c>
      <c r="C52" s="35"/>
      <c r="D52" s="34"/>
      <c r="E52" s="34"/>
      <c r="F52" s="34"/>
      <c r="G52" s="34"/>
      <c r="H52" s="14">
        <f>IF(D$19="usec",1,0)</f>
        <v>0</v>
      </c>
      <c r="I52" s="35" t="s">
        <v>67</v>
      </c>
      <c r="J52" s="10"/>
      <c r="K52" s="10"/>
      <c r="L52" s="8"/>
      <c r="M52" s="8"/>
      <c r="N52" s="8"/>
    </row>
    <row r="53" spans="2:14" ht="14.25" hidden="1">
      <c r="B53" s="28" t="s">
        <v>38</v>
      </c>
      <c r="C53" s="38">
        <f>VDD/7.5</f>
        <v>0.4</v>
      </c>
      <c r="D53" s="34" t="s">
        <v>27</v>
      </c>
      <c r="E53" s="34"/>
      <c r="F53" s="34"/>
      <c r="G53" s="34"/>
      <c r="H53" s="14">
        <f>IF(D$19="msec",1,0)</f>
        <v>1</v>
      </c>
      <c r="I53" s="35" t="s">
        <v>22</v>
      </c>
      <c r="J53" s="10"/>
      <c r="K53" s="10"/>
      <c r="L53" s="8"/>
      <c r="M53" s="8"/>
      <c r="N53" s="8"/>
    </row>
    <row r="54" spans="1:14" ht="14.25" hidden="1">
      <c r="A54" s="10"/>
      <c r="B54" s="28" t="s">
        <v>40</v>
      </c>
      <c r="C54" s="38">
        <f>IF(H$58,1.4+VDD/2.25,9.3+VDD/0.4)</f>
        <v>2.7333333333333334</v>
      </c>
      <c r="D54" s="34" t="s">
        <v>27</v>
      </c>
      <c r="E54" s="34"/>
      <c r="F54" s="34"/>
      <c r="G54" s="11"/>
      <c r="H54" s="14">
        <f>IF(D$19="sec",1,0)</f>
        <v>0</v>
      </c>
      <c r="I54" s="39" t="s">
        <v>19</v>
      </c>
      <c r="J54" s="10"/>
      <c r="K54" s="10"/>
      <c r="L54" s="8"/>
      <c r="M54" s="8"/>
      <c r="N54" s="8"/>
    </row>
    <row r="55" spans="1:14" ht="15" hidden="1">
      <c r="A55" s="10"/>
      <c r="B55" s="28" t="s">
        <v>41</v>
      </c>
      <c r="C55" s="38">
        <f>1000000*VDD/ResA</f>
        <v>0.9090909090909091</v>
      </c>
      <c r="D55" s="34" t="s">
        <v>27</v>
      </c>
      <c r="E55" s="34"/>
      <c r="F55" s="34"/>
      <c r="G55" s="25" t="s">
        <v>49</v>
      </c>
      <c r="H55" s="14">
        <f>IF(D$19="min",1,0)</f>
        <v>0</v>
      </c>
      <c r="I55" s="39" t="s">
        <v>23</v>
      </c>
      <c r="J55" s="10"/>
      <c r="K55" s="10"/>
      <c r="L55" s="8"/>
      <c r="M55" s="8"/>
      <c r="N55" s="8"/>
    </row>
    <row r="56" spans="1:14" ht="14.25" hidden="1">
      <c r="A56" s="10"/>
      <c r="B56" s="28" t="s">
        <v>42</v>
      </c>
      <c r="C56" s="38">
        <f>1000000*Mult*(DeltaV*CapT+0.5*C43*VDD*(1/ResA+1/Res_PAF))/C47</f>
        <v>1.3839727791896055</v>
      </c>
      <c r="D56" s="34" t="s">
        <v>27</v>
      </c>
      <c r="E56" s="34"/>
      <c r="F56" s="11"/>
      <c r="G56" s="41">
        <f>0.000001*H52+0.001*H53+H54+60*H55+3600*H56</f>
        <v>0.001</v>
      </c>
      <c r="H56" s="14">
        <f>IF(D$19="hours",1,0)</f>
        <v>0</v>
      </c>
      <c r="I56" s="39" t="s">
        <v>24</v>
      </c>
      <c r="J56" s="10"/>
      <c r="K56" s="10"/>
      <c r="L56" s="8"/>
      <c r="M56" s="8"/>
      <c r="N56" s="8"/>
    </row>
    <row r="57" spans="1:14" ht="14.25" hidden="1">
      <c r="A57" s="10"/>
      <c r="B57" s="28" t="s">
        <v>43</v>
      </c>
      <c r="C57" s="38">
        <f>C53+C54+C55</f>
        <v>4.042424242424242</v>
      </c>
      <c r="D57" s="34" t="s">
        <v>27</v>
      </c>
      <c r="E57" s="34"/>
      <c r="F57" s="11"/>
      <c r="G57" s="34"/>
      <c r="H57" s="34"/>
      <c r="I57" s="34"/>
      <c r="J57" s="10"/>
      <c r="K57" s="10"/>
      <c r="L57" s="8"/>
      <c r="M57" s="8"/>
      <c r="N57" s="8"/>
    </row>
    <row r="58" spans="1:14" ht="15" hidden="1">
      <c r="A58" s="10"/>
      <c r="B58" s="28" t="s">
        <v>44</v>
      </c>
      <c r="C58" s="40">
        <f>C53+C54+C56</f>
        <v>4.517306112522939</v>
      </c>
      <c r="D58" s="34" t="s">
        <v>27</v>
      </c>
      <c r="E58" s="34"/>
      <c r="F58" s="11"/>
      <c r="G58" s="25" t="s">
        <v>119</v>
      </c>
      <c r="H58" s="14">
        <f>IF(C$7="Micro",1,0)</f>
        <v>1</v>
      </c>
      <c r="I58" s="35" t="s">
        <v>120</v>
      </c>
      <c r="J58" s="10"/>
      <c r="K58" s="10"/>
      <c r="L58" s="8"/>
      <c r="M58" s="8"/>
      <c r="N58" s="8"/>
    </row>
    <row r="59" spans="1:14" ht="14.25" hidden="1">
      <c r="A59" s="10"/>
      <c r="E59" s="11"/>
      <c r="F59" s="11"/>
      <c r="H59" s="14">
        <f>IF(C$7="Low",1,0)</f>
        <v>0</v>
      </c>
      <c r="I59" s="35" t="s">
        <v>121</v>
      </c>
      <c r="J59" s="10"/>
      <c r="K59" s="10"/>
      <c r="L59" s="8"/>
      <c r="M59" s="8"/>
      <c r="N59" s="8"/>
    </row>
    <row r="60" spans="1:14" ht="14.25" hidden="1">
      <c r="A60" s="10"/>
      <c r="E60" s="11"/>
      <c r="F60" s="11"/>
      <c r="G60" s="11"/>
      <c r="H60" s="11"/>
      <c r="I60" s="11"/>
      <c r="J60" s="10"/>
      <c r="K60" s="10"/>
      <c r="L60" s="8"/>
      <c r="M60" s="8"/>
      <c r="N60" s="8"/>
    </row>
    <row r="61" spans="1:11" ht="15" hidden="1">
      <c r="A61" s="10"/>
      <c r="E61" s="11"/>
      <c r="F61" s="11"/>
      <c r="G61" s="25" t="s">
        <v>122</v>
      </c>
      <c r="H61" s="11"/>
      <c r="I61" s="11"/>
      <c r="J61" s="10"/>
      <c r="K61" s="10"/>
    </row>
    <row r="62" spans="1:11" ht="14.25" hidden="1">
      <c r="A62" s="10"/>
      <c r="E62" s="11"/>
      <c r="F62" s="11"/>
      <c r="G62" s="72">
        <f>H58*0.0000013+H59*0.0000003</f>
        <v>1.3E-06</v>
      </c>
      <c r="H62" s="11"/>
      <c r="I62" s="11"/>
      <c r="J62" s="10"/>
      <c r="K62" s="10"/>
    </row>
    <row r="63" spans="1:11" ht="14.25" hidden="1">
      <c r="A63" s="10"/>
      <c r="E63" s="11"/>
      <c r="F63" s="11"/>
      <c r="G63" s="11"/>
      <c r="H63" s="11"/>
      <c r="I63" s="11"/>
      <c r="J63" s="10"/>
      <c r="K63" s="10"/>
    </row>
    <row r="64" spans="1:11" ht="14.25" hidden="1">
      <c r="A64" s="10"/>
      <c r="E64" s="11"/>
      <c r="F64" s="11"/>
      <c r="G64" s="11"/>
      <c r="H64" s="11"/>
      <c r="I64" s="11"/>
      <c r="J64" s="10"/>
      <c r="K64" s="10"/>
    </row>
    <row r="65" spans="1:11" ht="14.25">
      <c r="A65" s="10"/>
      <c r="E65" s="11"/>
      <c r="F65" s="11"/>
      <c r="G65" s="11"/>
      <c r="H65" s="11"/>
      <c r="I65" s="11"/>
      <c r="J65" s="10"/>
      <c r="K65" s="10"/>
    </row>
    <row r="66" spans="1:11" ht="14.25">
      <c r="A66" s="10"/>
      <c r="E66" s="11"/>
      <c r="F66" s="11"/>
      <c r="G66" s="11"/>
      <c r="H66" s="11"/>
      <c r="I66" s="11"/>
      <c r="J66" s="10"/>
      <c r="K66" s="10"/>
    </row>
    <row r="67" spans="1:11" ht="14.25">
      <c r="A67" s="10"/>
      <c r="E67" s="11"/>
      <c r="F67" s="11"/>
      <c r="G67" s="11"/>
      <c r="H67" s="11"/>
      <c r="I67" s="11"/>
      <c r="J67" s="10"/>
      <c r="K67" s="10"/>
    </row>
    <row r="68" spans="1:11" ht="14.25">
      <c r="A68" s="10"/>
      <c r="E68" s="11"/>
      <c r="F68" s="11"/>
      <c r="G68" s="11"/>
      <c r="H68" s="11"/>
      <c r="I68" s="11"/>
      <c r="J68" s="10"/>
      <c r="K68" s="10"/>
    </row>
    <row r="69" spans="1:11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</sheetData>
  <sheetProtection password="8441" sheet="1" objects="1" scenarios="1"/>
  <mergeCells count="3">
    <mergeCell ref="B5:C5"/>
    <mergeCell ref="B18:C18"/>
    <mergeCell ref="B11:C11"/>
  </mergeCells>
  <printOptions horizontalCentered="1"/>
  <pageMargins left="0.5" right="0.5" top="1" bottom="0.75" header="0.5" footer="0.5"/>
  <pageSetup horizontalDpi="300" verticalDpi="300" orientation="landscape" r:id="rId4"/>
  <headerFooter alignWithMargins="0">
    <oddFooter>&amp;LCSS/F.Bohac&amp;R&amp;F</oddFooter>
  </headerFooter>
  <rowBreaks count="2" manualBreakCount="2">
    <brk id="27" max="255" man="1"/>
    <brk id="69" max="255" man="1"/>
  </rowBreaks>
  <colBreaks count="1" manualBreakCount="1">
    <brk id="10" max="65535" man="1"/>
  </colBreaks>
  <drawing r:id="rId3"/>
  <legacyDrawing r:id="rId2"/>
  <oleObjects>
    <oleObject progId="MSDraw" shapeId="12502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84"/>
  <sheetViews>
    <sheetView showGridLines="0" showRowColHeaders="0" workbookViewId="0" topLeftCell="A1">
      <selection activeCell="A3" sqref="A3"/>
    </sheetView>
  </sheetViews>
  <sheetFormatPr defaultColWidth="9.00390625" defaultRowHeight="14.25"/>
  <cols>
    <col min="1" max="1" width="3.125" style="0" customWidth="1"/>
    <col min="2" max="2" width="20.625" style="0" customWidth="1"/>
    <col min="3" max="3" width="13.125" style="0" customWidth="1"/>
    <col min="4" max="4" width="7.125" style="0" customWidth="1"/>
    <col min="5" max="7" width="10.625" style="0" customWidth="1"/>
    <col min="8" max="8" width="10.75390625" style="0" customWidth="1"/>
    <col min="9" max="9" width="10.625" style="0" customWidth="1"/>
    <col min="10" max="10" width="12.625" style="0" customWidth="1"/>
    <col min="11" max="12" width="10.625" style="0" customWidth="1"/>
  </cols>
  <sheetData>
    <row r="1" spans="3:12" ht="28.5" customHeight="1">
      <c r="C1" s="27" t="s">
        <v>88</v>
      </c>
      <c r="J1" s="52">
        <v>40150</v>
      </c>
      <c r="L1" s="4"/>
    </row>
    <row r="2" spans="1:3" ht="22.5" customHeight="1">
      <c r="A2" s="2"/>
      <c r="C2" s="24" t="s">
        <v>104</v>
      </c>
    </row>
    <row r="3" spans="1:9" ht="14.25" customHeight="1">
      <c r="A3" s="2"/>
      <c r="C3" s="24" t="s">
        <v>111</v>
      </c>
      <c r="H3" s="19" t="s">
        <v>16</v>
      </c>
      <c r="I3" s="20" t="s">
        <v>55</v>
      </c>
    </row>
    <row r="4" spans="8:9" ht="14.25">
      <c r="H4" s="21" t="s">
        <v>17</v>
      </c>
      <c r="I4" s="20" t="s">
        <v>18</v>
      </c>
    </row>
    <row r="5" spans="2:9" ht="19.5" customHeight="1">
      <c r="B5" s="80" t="s">
        <v>20</v>
      </c>
      <c r="C5" s="80"/>
      <c r="H5" s="74" t="s">
        <v>124</v>
      </c>
      <c r="I5" s="20" t="s">
        <v>123</v>
      </c>
    </row>
    <row r="6" spans="2:12" ht="18" customHeight="1">
      <c r="B6" s="63" t="s">
        <v>9</v>
      </c>
      <c r="C6" s="73" t="s">
        <v>0</v>
      </c>
      <c r="E6" s="3"/>
      <c r="K6" s="13"/>
      <c r="L6" s="13"/>
    </row>
    <row r="7" spans="2:12" ht="18" customHeight="1">
      <c r="B7" s="63" t="s">
        <v>117</v>
      </c>
      <c r="C7" s="69" t="s">
        <v>120</v>
      </c>
      <c r="E7" s="3"/>
      <c r="K7" s="13"/>
      <c r="L7" s="13"/>
    </row>
    <row r="8" spans="2:12" ht="18" customHeight="1">
      <c r="B8" s="63" t="s">
        <v>79</v>
      </c>
      <c r="C8" s="73" t="s">
        <v>78</v>
      </c>
      <c r="E8" s="3"/>
      <c r="K8" s="13"/>
      <c r="L8" s="13"/>
    </row>
    <row r="9" spans="2:6" ht="18" customHeight="1">
      <c r="B9" s="63" t="s">
        <v>8</v>
      </c>
      <c r="C9" s="64">
        <v>3</v>
      </c>
      <c r="D9" s="17" t="s">
        <v>7</v>
      </c>
      <c r="E9" s="70">
        <f>IF(VDD&lt;1.8,"VDD too low!",IF(VDD&gt;6,"VDD too High!",""))</f>
      </c>
      <c r="F9" s="46"/>
    </row>
    <row r="10" spans="2:5" ht="15" customHeight="1">
      <c r="B10" s="6"/>
      <c r="C10" s="9"/>
      <c r="D10" s="5"/>
      <c r="E10" s="3"/>
    </row>
    <row r="11" spans="2:4" ht="19.5" customHeight="1">
      <c r="B11" s="80" t="s">
        <v>1</v>
      </c>
      <c r="C11" s="80"/>
      <c r="D11" s="71" t="s">
        <v>3</v>
      </c>
    </row>
    <row r="12" spans="2:6" ht="18" customHeight="1">
      <c r="B12" s="63" t="s">
        <v>30</v>
      </c>
      <c r="C12" s="64">
        <v>3.3</v>
      </c>
      <c r="D12" s="48" t="s">
        <v>2</v>
      </c>
      <c r="E12" s="16"/>
      <c r="F12" s="7"/>
    </row>
    <row r="13" spans="2:6" ht="18" customHeight="1">
      <c r="B13" s="63" t="s">
        <v>31</v>
      </c>
      <c r="C13" s="64">
        <v>100</v>
      </c>
      <c r="D13" s="49" t="s">
        <v>4</v>
      </c>
      <c r="E13" s="3"/>
      <c r="F13" s="7"/>
    </row>
    <row r="14" spans="2:6" ht="18" customHeight="1">
      <c r="B14" s="63" t="s">
        <v>69</v>
      </c>
      <c r="C14" s="64">
        <v>100</v>
      </c>
      <c r="D14" s="49" t="s">
        <v>4</v>
      </c>
      <c r="E14" s="3"/>
      <c r="F14" s="7"/>
    </row>
    <row r="15" spans="2:7" ht="18" customHeight="1">
      <c r="B15" s="63" t="s">
        <v>32</v>
      </c>
      <c r="C15" s="64">
        <v>1</v>
      </c>
      <c r="D15" s="48" t="s">
        <v>15</v>
      </c>
      <c r="E15" s="16"/>
      <c r="F15" s="7"/>
      <c r="G15" s="12"/>
    </row>
    <row r="16" spans="2:7" ht="18" customHeight="1">
      <c r="B16" s="63" t="s">
        <v>10</v>
      </c>
      <c r="C16" s="67" t="s">
        <v>82</v>
      </c>
      <c r="D16" s="15"/>
      <c r="E16" s="16"/>
      <c r="F16" s="7"/>
      <c r="G16" s="12"/>
    </row>
    <row r="17" spans="2:5" ht="15" customHeight="1">
      <c r="B17" s="1"/>
      <c r="C17" s="3"/>
      <c r="E17" s="3"/>
    </row>
    <row r="18" spans="2:5" ht="19.5" customHeight="1">
      <c r="B18" s="80" t="s">
        <v>21</v>
      </c>
      <c r="C18" s="80"/>
      <c r="D18" s="71" t="s">
        <v>3</v>
      </c>
      <c r="E18" s="3"/>
    </row>
    <row r="19" spans="2:5" ht="18" customHeight="1">
      <c r="B19" s="59" t="s">
        <v>54</v>
      </c>
      <c r="C19" s="60">
        <f>C48</f>
        <v>131.857470022298</v>
      </c>
      <c r="D19" s="50" t="s">
        <v>22</v>
      </c>
      <c r="E19" s="45"/>
    </row>
    <row r="20" spans="2:5" ht="18" customHeight="1">
      <c r="B20" s="59" t="s">
        <v>70</v>
      </c>
      <c r="C20" s="60">
        <f>C49</f>
        <v>7.5839465130863895</v>
      </c>
      <c r="D20" s="17" t="s">
        <v>51</v>
      </c>
      <c r="E20" s="46"/>
    </row>
    <row r="21" spans="2:9" ht="18" customHeight="1">
      <c r="B21" s="59" t="s">
        <v>83</v>
      </c>
      <c r="C21" s="60">
        <f>C19*(100-C23)/100</f>
        <v>10.425993861900416</v>
      </c>
      <c r="D21" s="17" t="str">
        <f>D19</f>
        <v>msec</v>
      </c>
      <c r="E21" s="46"/>
      <c r="H21" s="56" t="s">
        <v>85</v>
      </c>
      <c r="I21" s="55" t="s">
        <v>3</v>
      </c>
    </row>
    <row r="22" spans="2:9" ht="18" customHeight="1">
      <c r="B22" s="59" t="s">
        <v>84</v>
      </c>
      <c r="C22" s="60">
        <f>C19*C23/100</f>
        <v>121.4314761603976</v>
      </c>
      <c r="D22" s="17" t="str">
        <f>D19</f>
        <v>msec</v>
      </c>
      <c r="E22" s="46"/>
      <c r="G22" s="59" t="s">
        <v>25</v>
      </c>
      <c r="H22" s="60">
        <f>C57</f>
        <v>4.042424242424242</v>
      </c>
      <c r="I22" s="17" t="s">
        <v>86</v>
      </c>
    </row>
    <row r="23" spans="2:9" ht="18" customHeight="1">
      <c r="B23" s="59" t="s">
        <v>71</v>
      </c>
      <c r="C23" s="62">
        <f>C50</f>
        <v>92.09298202055803</v>
      </c>
      <c r="D23" s="17" t="s">
        <v>53</v>
      </c>
      <c r="E23" s="45"/>
      <c r="G23" s="59" t="s">
        <v>26</v>
      </c>
      <c r="H23" s="60">
        <f>C58</f>
        <v>4.743894282507094</v>
      </c>
      <c r="I23" s="17" t="s">
        <v>87</v>
      </c>
    </row>
    <row r="24" spans="2:8" ht="16.5" customHeight="1">
      <c r="B24" s="47"/>
      <c r="C24" s="34"/>
      <c r="D24" s="34"/>
      <c r="H24" s="57"/>
    </row>
    <row r="25" ht="15" customHeight="1"/>
    <row r="26" spans="6:14" ht="15" customHeight="1">
      <c r="F26" s="10"/>
      <c r="G26" s="10"/>
      <c r="H26" s="10"/>
      <c r="I26" s="10"/>
      <c r="J26" s="10"/>
      <c r="K26" s="10"/>
      <c r="L26" s="8"/>
      <c r="M26" s="8"/>
      <c r="N26" s="8"/>
    </row>
    <row r="27" spans="1:14" ht="15" customHeight="1">
      <c r="A27" s="10"/>
      <c r="B27" s="44"/>
      <c r="C27" s="29"/>
      <c r="D27" s="18"/>
      <c r="F27" s="10"/>
      <c r="G27" s="10"/>
      <c r="H27" s="10"/>
      <c r="I27" s="10"/>
      <c r="K27" s="10"/>
      <c r="L27" s="8"/>
      <c r="M27" s="8"/>
      <c r="N27" s="8"/>
    </row>
    <row r="28" spans="1:14" ht="14.25" hidden="1">
      <c r="A28" s="10"/>
      <c r="F28" s="11"/>
      <c r="G28" s="11"/>
      <c r="H28" s="11"/>
      <c r="I28" s="11"/>
      <c r="J28" s="10"/>
      <c r="K28" s="10"/>
      <c r="L28" s="8"/>
      <c r="M28" s="8"/>
      <c r="N28" s="8"/>
    </row>
    <row r="29" spans="1:14" ht="15" hidden="1">
      <c r="A29" s="10"/>
      <c r="B29" s="30" t="s">
        <v>69</v>
      </c>
      <c r="C29" s="31">
        <f>RF*G$30</f>
        <v>100000</v>
      </c>
      <c r="D29" s="11" t="s">
        <v>28</v>
      </c>
      <c r="E29" s="11"/>
      <c r="F29" s="11"/>
      <c r="G29" s="25" t="s">
        <v>68</v>
      </c>
      <c r="H29" s="14">
        <f>IF(D$14="K",1,0)</f>
        <v>1</v>
      </c>
      <c r="I29" s="14" t="s">
        <v>4</v>
      </c>
      <c r="J29" s="10"/>
      <c r="K29" s="10"/>
      <c r="L29" s="8"/>
      <c r="M29" s="8"/>
      <c r="N29" s="8"/>
    </row>
    <row r="30" spans="1:14" ht="14.25" hidden="1">
      <c r="A30" s="10"/>
      <c r="B30" s="30" t="s">
        <v>30</v>
      </c>
      <c r="C30" s="31">
        <f>RA*G$33</f>
        <v>3300000</v>
      </c>
      <c r="D30" s="11" t="s">
        <v>28</v>
      </c>
      <c r="E30" s="11"/>
      <c r="F30" s="11"/>
      <c r="G30" s="33">
        <f>H29*1000+H30*1000000</f>
        <v>1000</v>
      </c>
      <c r="H30" s="14">
        <f>IF(D$14="Meg",1,0)</f>
        <v>0</v>
      </c>
      <c r="I30" s="14" t="s">
        <v>2</v>
      </c>
      <c r="J30" s="10"/>
      <c r="K30" s="10"/>
      <c r="L30" s="8"/>
      <c r="M30" s="8"/>
      <c r="N30" s="8"/>
    </row>
    <row r="31" spans="1:14" ht="14.25" hidden="1">
      <c r="A31" s="10"/>
      <c r="B31" s="30" t="s">
        <v>31</v>
      </c>
      <c r="C31" s="31">
        <f>RB*G$36</f>
        <v>100000</v>
      </c>
      <c r="D31" s="23" t="s">
        <v>28</v>
      </c>
      <c r="E31" s="11"/>
      <c r="F31" s="11"/>
      <c r="G31" s="7"/>
      <c r="H31" s="7"/>
      <c r="I31" s="7"/>
      <c r="J31" s="10"/>
      <c r="K31" s="10"/>
      <c r="L31" s="8"/>
      <c r="M31" s="8"/>
      <c r="N31" s="8"/>
    </row>
    <row r="32" spans="1:14" ht="15" hidden="1">
      <c r="A32" s="10"/>
      <c r="B32" s="30" t="s">
        <v>77</v>
      </c>
      <c r="C32" s="53">
        <f>(ResA*ResF)/(ResA+ResF)</f>
        <v>97058.82352941176</v>
      </c>
      <c r="D32" s="23" t="s">
        <v>28</v>
      </c>
      <c r="E32" s="11"/>
      <c r="F32" s="11"/>
      <c r="G32" s="25" t="s">
        <v>45</v>
      </c>
      <c r="H32" s="14">
        <f>IF(D$12="K",1,0)</f>
        <v>0</v>
      </c>
      <c r="I32" s="14" t="s">
        <v>4</v>
      </c>
      <c r="J32" s="10"/>
      <c r="K32" s="10"/>
      <c r="L32" s="8"/>
      <c r="M32" s="8"/>
      <c r="N32" s="8"/>
    </row>
    <row r="33" spans="1:14" ht="14.25" hidden="1">
      <c r="A33" s="10"/>
      <c r="B33" s="30" t="s">
        <v>32</v>
      </c>
      <c r="C33" s="31">
        <f>CT*G$40</f>
        <v>1E-09</v>
      </c>
      <c r="D33" s="23" t="s">
        <v>29</v>
      </c>
      <c r="E33" s="11"/>
      <c r="F33" s="11"/>
      <c r="G33" s="33">
        <f>H32*1000+H33*1000000</f>
        <v>1000000</v>
      </c>
      <c r="H33" s="14">
        <f>IF(D$12="Meg",1,0)</f>
        <v>1</v>
      </c>
      <c r="I33" s="14" t="s">
        <v>2</v>
      </c>
      <c r="J33" s="10"/>
      <c r="K33" s="10"/>
      <c r="L33" s="8"/>
      <c r="M33" s="8"/>
      <c r="N33" s="8"/>
    </row>
    <row r="34" spans="1:14" ht="14.25" hidden="1">
      <c r="A34" s="11"/>
      <c r="B34" s="30"/>
      <c r="C34" s="58"/>
      <c r="D34" s="23"/>
      <c r="E34" s="11"/>
      <c r="F34" s="11"/>
      <c r="G34" s="34"/>
      <c r="H34" s="34"/>
      <c r="I34" s="34"/>
      <c r="J34" s="10"/>
      <c r="K34" s="10"/>
      <c r="L34" s="8"/>
      <c r="M34" s="8"/>
      <c r="N34" s="8"/>
    </row>
    <row r="35" spans="3:14" ht="15" hidden="1">
      <c r="C35" s="58"/>
      <c r="E35" s="11"/>
      <c r="F35" s="11"/>
      <c r="G35" s="25" t="s">
        <v>46</v>
      </c>
      <c r="H35" s="14">
        <f>IF(D$13="K",1,0)</f>
        <v>1</v>
      </c>
      <c r="I35" s="14" t="s">
        <v>4</v>
      </c>
      <c r="J35" s="10"/>
      <c r="K35" s="10"/>
      <c r="L35" s="8"/>
      <c r="M35" s="8"/>
      <c r="N35" s="8"/>
    </row>
    <row r="36" spans="2:14" ht="15" hidden="1">
      <c r="B36" s="11"/>
      <c r="C36" s="32" t="s">
        <v>0</v>
      </c>
      <c r="D36" s="11"/>
      <c r="E36" s="34"/>
      <c r="F36" s="7"/>
      <c r="G36" s="33">
        <f>H35*1000+H36*1000000</f>
        <v>1000</v>
      </c>
      <c r="H36" s="14">
        <f>IF(D$13="Meg",1,0)</f>
        <v>0</v>
      </c>
      <c r="I36" s="14" t="s">
        <v>2</v>
      </c>
      <c r="J36" s="10"/>
      <c r="K36" s="10"/>
      <c r="L36" s="8"/>
      <c r="M36" s="8"/>
      <c r="N36" s="8"/>
    </row>
    <row r="37" spans="2:14" ht="14.25" hidden="1">
      <c r="B37" s="28" t="s">
        <v>73</v>
      </c>
      <c r="C37" s="22">
        <f>LN(2/3)-LN(1/3)</f>
        <v>0.6931471805599454</v>
      </c>
      <c r="D37" s="34" t="s">
        <v>74</v>
      </c>
      <c r="E37" s="34"/>
      <c r="F37" s="7"/>
      <c r="G37" s="79">
        <f>50/VDD^0.8</f>
        <v>20.762182326925288</v>
      </c>
      <c r="H37" s="34"/>
      <c r="I37" s="34"/>
      <c r="J37" s="10"/>
      <c r="K37" s="10"/>
      <c r="L37" s="8"/>
      <c r="M37" s="8"/>
      <c r="N37" s="8"/>
    </row>
    <row r="38" spans="2:14" ht="14.25" hidden="1">
      <c r="B38" s="28" t="s">
        <v>75</v>
      </c>
      <c r="C38" s="22">
        <f>LN(2/3)-LN(1/3)</f>
        <v>0.6931471805599454</v>
      </c>
      <c r="D38" s="34" t="s">
        <v>76</v>
      </c>
      <c r="E38" s="34"/>
      <c r="F38" s="7"/>
      <c r="G38" s="34"/>
      <c r="H38" s="14">
        <f>IF(D$15="pF",1,0)</f>
        <v>0</v>
      </c>
      <c r="I38" s="35" t="s">
        <v>5</v>
      </c>
      <c r="J38" s="10"/>
      <c r="K38" s="10"/>
      <c r="L38" s="8"/>
      <c r="M38" s="8"/>
      <c r="N38" s="8"/>
    </row>
    <row r="39" spans="2:14" ht="15" hidden="1">
      <c r="B39" s="28" t="s">
        <v>34</v>
      </c>
      <c r="C39" s="22">
        <f>LN(2/3)-LN(1/3)</f>
        <v>0.6931471805599454</v>
      </c>
      <c r="D39" s="34" t="s">
        <v>33</v>
      </c>
      <c r="E39" s="34"/>
      <c r="F39" s="34"/>
      <c r="G39" s="25" t="s">
        <v>47</v>
      </c>
      <c r="H39" s="14">
        <f>IF(D$15="nF",1,0)</f>
        <v>1</v>
      </c>
      <c r="I39" s="35" t="s">
        <v>15</v>
      </c>
      <c r="J39" s="10"/>
      <c r="K39" s="10"/>
      <c r="L39" s="8"/>
      <c r="M39" s="8"/>
      <c r="N39" s="8"/>
    </row>
    <row r="40" spans="2:14" ht="14.25" hidden="1">
      <c r="B40" s="11"/>
      <c r="C40" s="11"/>
      <c r="D40" s="11"/>
      <c r="E40" s="34"/>
      <c r="F40" s="34"/>
      <c r="G40" s="33">
        <f>H38*0.000000000001+H39*0.000000001+H40*0.000001</f>
        <v>1E-09</v>
      </c>
      <c r="H40" s="14">
        <f>IF(D$15="uF",1,0)</f>
        <v>0</v>
      </c>
      <c r="I40" s="35" t="s">
        <v>6</v>
      </c>
      <c r="J40" s="10"/>
      <c r="K40" s="10"/>
      <c r="L40" s="8"/>
      <c r="M40" s="8"/>
      <c r="N40" s="8"/>
    </row>
    <row r="41" spans="2:14" ht="14.25" hidden="1">
      <c r="B41" s="28" t="s">
        <v>73</v>
      </c>
      <c r="C41" s="36">
        <f>C37*(ResA+ResB)*CapT+G62</f>
        <v>0.0023580004139038147</v>
      </c>
      <c r="D41" s="34" t="s">
        <v>35</v>
      </c>
      <c r="E41" s="34"/>
      <c r="F41" s="34"/>
      <c r="G41" s="34"/>
      <c r="H41" s="34"/>
      <c r="I41" s="34"/>
      <c r="J41" s="10"/>
      <c r="K41" s="10"/>
      <c r="L41" s="8"/>
      <c r="M41" s="8"/>
      <c r="N41" s="8"/>
    </row>
    <row r="42" spans="2:14" ht="14.25" hidden="1">
      <c r="B42" s="28" t="s">
        <v>75</v>
      </c>
      <c r="C42" s="36">
        <f>C38*(Res_PAF+ResB)*CapT+G62</f>
        <v>0.00013789076793387157</v>
      </c>
      <c r="D42" s="34" t="s">
        <v>35</v>
      </c>
      <c r="E42" s="34"/>
      <c r="F42" s="34"/>
      <c r="G42" s="34"/>
      <c r="H42" s="35"/>
      <c r="I42" s="35"/>
      <c r="J42" s="10"/>
      <c r="K42" s="10"/>
      <c r="L42" s="8"/>
      <c r="M42" s="8"/>
      <c r="N42" s="8"/>
    </row>
    <row r="43" spans="2:14" ht="14.25" hidden="1">
      <c r="B43" s="28" t="s">
        <v>34</v>
      </c>
      <c r="C43" s="36">
        <f>C39*(ResB+G37)*CapT+G62</f>
        <v>7.062910930413674E-05</v>
      </c>
      <c r="D43" s="34" t="s">
        <v>36</v>
      </c>
      <c r="E43" s="34"/>
      <c r="F43" s="34"/>
      <c r="G43" s="34"/>
      <c r="H43" s="35">
        <f>IF(C16="10",10,0)</f>
        <v>0</v>
      </c>
      <c r="I43" s="35">
        <v>10</v>
      </c>
      <c r="J43" s="10"/>
      <c r="K43" s="10"/>
      <c r="L43" s="8"/>
      <c r="M43" s="8"/>
      <c r="N43" s="8"/>
    </row>
    <row r="44" spans="2:14" ht="14.25" hidden="1">
      <c r="B44" s="11"/>
      <c r="C44" s="11"/>
      <c r="D44" s="11"/>
      <c r="E44" s="34"/>
      <c r="F44" s="34"/>
      <c r="G44" s="34"/>
      <c r="H44" s="35">
        <f>IF(C16="100",100,0)</f>
        <v>100</v>
      </c>
      <c r="I44" s="35">
        <v>100</v>
      </c>
      <c r="J44" s="10"/>
      <c r="K44" s="10"/>
      <c r="L44" s="8"/>
      <c r="M44" s="8"/>
      <c r="N44" s="8"/>
    </row>
    <row r="45" spans="2:14" ht="14.25" hidden="1">
      <c r="B45" s="28" t="s">
        <v>72</v>
      </c>
      <c r="C45" s="36">
        <f>C41+C43</f>
        <v>0.0024286295232079516</v>
      </c>
      <c r="D45" s="34" t="s">
        <v>37</v>
      </c>
      <c r="E45" s="34"/>
      <c r="F45" s="34"/>
      <c r="G45" s="34"/>
      <c r="H45" s="35">
        <f>IF(C16="1K",1000,0)</f>
        <v>0</v>
      </c>
      <c r="I45" s="35" t="s">
        <v>11</v>
      </c>
      <c r="J45" s="10"/>
      <c r="K45" s="10"/>
      <c r="L45" s="8"/>
      <c r="M45" s="8"/>
      <c r="N45" s="8"/>
    </row>
    <row r="46" spans="2:14" ht="14.25" hidden="1">
      <c r="B46" s="28" t="s">
        <v>81</v>
      </c>
      <c r="C46" s="36">
        <f>C42+C43</f>
        <v>0.0002085198772380083</v>
      </c>
      <c r="D46" s="34" t="s">
        <v>37</v>
      </c>
      <c r="E46" s="34"/>
      <c r="F46" s="34"/>
      <c r="G46" s="34"/>
      <c r="H46" s="35">
        <f>IF(C16="10K",10000,0)</f>
        <v>0</v>
      </c>
      <c r="I46" s="35" t="s">
        <v>12</v>
      </c>
      <c r="J46" s="10"/>
      <c r="K46" s="10"/>
      <c r="L46" s="8"/>
      <c r="M46" s="8"/>
      <c r="N46" s="8"/>
    </row>
    <row r="47" spans="2:14" ht="15" hidden="1">
      <c r="B47" s="28" t="s">
        <v>54</v>
      </c>
      <c r="C47" s="36">
        <f>Mult*(C45+C46)/2</f>
        <v>0.131857470022298</v>
      </c>
      <c r="D47" s="34" t="s">
        <v>19</v>
      </c>
      <c r="E47" s="34"/>
      <c r="F47" s="34"/>
      <c r="G47" s="25" t="s">
        <v>48</v>
      </c>
      <c r="H47" s="35">
        <f>IF(C16="100K",100000,0)</f>
        <v>0</v>
      </c>
      <c r="I47" s="35" t="s">
        <v>13</v>
      </c>
      <c r="J47" s="10"/>
      <c r="K47" s="10"/>
      <c r="L47" s="8"/>
      <c r="M47" s="8"/>
      <c r="N47" s="8"/>
    </row>
    <row r="48" spans="2:14" ht="14.25" hidden="1">
      <c r="B48" s="28" t="s">
        <v>54</v>
      </c>
      <c r="C48" s="36">
        <f>C47/G$56</f>
        <v>131.857470022298</v>
      </c>
      <c r="D48" s="37" t="str">
        <f>D19</f>
        <v>msec</v>
      </c>
      <c r="E48" s="34"/>
      <c r="F48" s="34"/>
      <c r="G48" s="33">
        <f>SUM(H43:H48)</f>
        <v>100</v>
      </c>
      <c r="H48" s="35">
        <f>IF(C16="1M",1000000,0)</f>
        <v>0</v>
      </c>
      <c r="I48" s="35" t="s">
        <v>14</v>
      </c>
      <c r="J48" s="10"/>
      <c r="K48" s="10"/>
      <c r="L48" s="8"/>
      <c r="M48" s="8"/>
      <c r="N48" s="8"/>
    </row>
    <row r="49" spans="2:14" ht="14.25" hidden="1">
      <c r="B49" s="28" t="s">
        <v>50</v>
      </c>
      <c r="C49" s="42">
        <f>1/C47</f>
        <v>7.5839465130863895</v>
      </c>
      <c r="D49" s="11" t="s">
        <v>51</v>
      </c>
      <c r="E49" s="34"/>
      <c r="F49" s="34"/>
      <c r="G49" s="34"/>
      <c r="H49" s="34"/>
      <c r="I49" s="34"/>
      <c r="J49" s="10"/>
      <c r="K49" s="10"/>
      <c r="L49" s="8"/>
      <c r="M49" s="8"/>
      <c r="N49" s="8"/>
    </row>
    <row r="50" spans="2:14" ht="15" hidden="1">
      <c r="B50" s="28" t="s">
        <v>52</v>
      </c>
      <c r="C50" s="43">
        <f>100*C45/(C45+C46)</f>
        <v>92.09298202055803</v>
      </c>
      <c r="D50" s="11" t="s">
        <v>53</v>
      </c>
      <c r="E50" s="34"/>
      <c r="F50" s="34"/>
      <c r="G50" s="25" t="s">
        <v>118</v>
      </c>
      <c r="H50" s="35">
        <f>IF(C$8="Low Volt",1,0)</f>
        <v>0</v>
      </c>
      <c r="I50" s="35" t="s">
        <v>133</v>
      </c>
      <c r="J50" s="10"/>
      <c r="K50" s="10"/>
      <c r="L50" s="8"/>
      <c r="M50" s="8"/>
      <c r="N50" s="8"/>
    </row>
    <row r="51" spans="2:14" ht="14.25" hidden="1">
      <c r="B51" s="34"/>
      <c r="C51" s="35"/>
      <c r="D51" s="34"/>
      <c r="E51" s="34"/>
      <c r="F51" s="34"/>
      <c r="G51" s="33">
        <f>H50*0.8*VDD+H51*VDD/3</f>
        <v>1</v>
      </c>
      <c r="H51" s="35">
        <f>IF(C$8="Standard",1,0)</f>
        <v>1</v>
      </c>
      <c r="I51" s="35" t="s">
        <v>78</v>
      </c>
      <c r="J51" s="10"/>
      <c r="K51" s="10"/>
      <c r="L51" s="8"/>
      <c r="M51" s="8"/>
      <c r="N51" s="8"/>
    </row>
    <row r="52" spans="2:14" ht="15" hidden="1">
      <c r="B52" s="26" t="s">
        <v>39</v>
      </c>
      <c r="C52" s="35"/>
      <c r="D52" s="34"/>
      <c r="E52" s="34"/>
      <c r="F52" s="34"/>
      <c r="G52" s="34"/>
      <c r="H52" s="14">
        <f>IF(D$19="usec",1,0)</f>
        <v>0</v>
      </c>
      <c r="I52" s="35" t="s">
        <v>67</v>
      </c>
      <c r="J52" s="10"/>
      <c r="K52" s="10"/>
      <c r="L52" s="8"/>
      <c r="M52" s="8"/>
      <c r="N52" s="8"/>
    </row>
    <row r="53" spans="2:14" ht="14.25" hidden="1">
      <c r="B53" s="28" t="s">
        <v>38</v>
      </c>
      <c r="C53" s="38">
        <f>VDD/7.5</f>
        <v>0.4</v>
      </c>
      <c r="D53" s="34" t="s">
        <v>27</v>
      </c>
      <c r="E53" s="34"/>
      <c r="F53" s="34"/>
      <c r="G53" s="34"/>
      <c r="H53" s="14">
        <f>IF(D$19="msec",1,0)</f>
        <v>1</v>
      </c>
      <c r="I53" s="35" t="s">
        <v>22</v>
      </c>
      <c r="J53" s="10"/>
      <c r="K53" s="10"/>
      <c r="L53" s="8"/>
      <c r="M53" s="8"/>
      <c r="N53" s="8"/>
    </row>
    <row r="54" spans="1:14" ht="14.25" hidden="1">
      <c r="A54" s="10"/>
      <c r="B54" s="28" t="s">
        <v>40</v>
      </c>
      <c r="C54" s="38">
        <f>IF(H$58,1.4+VDD/2.25,9.3+VDD/0.4)</f>
        <v>2.7333333333333334</v>
      </c>
      <c r="D54" s="34" t="s">
        <v>27</v>
      </c>
      <c r="E54" s="34"/>
      <c r="F54" s="34"/>
      <c r="G54" s="11"/>
      <c r="H54" s="14">
        <f>IF(D$19="sec",1,0)</f>
        <v>0</v>
      </c>
      <c r="I54" s="39" t="s">
        <v>19</v>
      </c>
      <c r="J54" s="10"/>
      <c r="K54" s="10"/>
      <c r="L54" s="8"/>
      <c r="M54" s="8"/>
      <c r="N54" s="8"/>
    </row>
    <row r="55" spans="1:14" ht="15" hidden="1">
      <c r="A55" s="10"/>
      <c r="B55" s="28" t="s">
        <v>41</v>
      </c>
      <c r="C55" s="38">
        <f>1000000*VDD/ResA</f>
        <v>0.9090909090909091</v>
      </c>
      <c r="D55" s="34" t="s">
        <v>27</v>
      </c>
      <c r="E55" s="34"/>
      <c r="F55" s="34"/>
      <c r="G55" s="25" t="s">
        <v>49</v>
      </c>
      <c r="H55" s="14">
        <f>IF(D$19="min",1,0)</f>
        <v>0</v>
      </c>
      <c r="I55" s="39" t="s">
        <v>23</v>
      </c>
      <c r="J55" s="10"/>
      <c r="K55" s="10"/>
      <c r="L55" s="8"/>
      <c r="M55" s="8"/>
      <c r="N55" s="8"/>
    </row>
    <row r="56" spans="1:14" ht="14.25" hidden="1">
      <c r="A56" s="10"/>
      <c r="B56" s="28" t="s">
        <v>42</v>
      </c>
      <c r="C56" s="38">
        <f>1000000*Mult*(DeltaV*CapT+0.5*C43*VDD*(1/ResA+1/Res_PAF))/C47</f>
        <v>1.6105609491737611</v>
      </c>
      <c r="D56" s="34" t="s">
        <v>27</v>
      </c>
      <c r="E56" s="34"/>
      <c r="F56" s="11"/>
      <c r="G56" s="41">
        <f>0.000001*H52+0.001*H53+H54+60*H55+3600*H56</f>
        <v>0.001</v>
      </c>
      <c r="H56" s="14">
        <f>IF(D$19="hours",1,0)</f>
        <v>0</v>
      </c>
      <c r="I56" s="39" t="s">
        <v>24</v>
      </c>
      <c r="J56" s="10"/>
      <c r="K56" s="10"/>
      <c r="L56" s="8"/>
      <c r="M56" s="8"/>
      <c r="N56" s="8"/>
    </row>
    <row r="57" spans="1:14" ht="14.25" hidden="1">
      <c r="A57" s="10"/>
      <c r="B57" s="28" t="s">
        <v>43</v>
      </c>
      <c r="C57" s="38">
        <f>C53+C54+C55</f>
        <v>4.042424242424242</v>
      </c>
      <c r="D57" s="34" t="s">
        <v>27</v>
      </c>
      <c r="E57" s="34"/>
      <c r="F57" s="11"/>
      <c r="G57" s="34"/>
      <c r="H57" s="34"/>
      <c r="I57" s="34"/>
      <c r="J57" s="10"/>
      <c r="K57" s="10"/>
      <c r="L57" s="8"/>
      <c r="M57" s="8"/>
      <c r="N57" s="8"/>
    </row>
    <row r="58" spans="1:14" ht="15" hidden="1">
      <c r="A58" s="10"/>
      <c r="B58" s="28" t="s">
        <v>44</v>
      </c>
      <c r="C58" s="40">
        <f>C53+C54+C56</f>
        <v>4.743894282507094</v>
      </c>
      <c r="D58" s="34" t="s">
        <v>27</v>
      </c>
      <c r="E58" s="34"/>
      <c r="F58" s="11"/>
      <c r="G58" s="25" t="s">
        <v>119</v>
      </c>
      <c r="H58" s="14">
        <f>IF(C$7="Micro",1,0)</f>
        <v>1</v>
      </c>
      <c r="I58" s="35" t="s">
        <v>120</v>
      </c>
      <c r="J58" s="10"/>
      <c r="K58" s="10"/>
      <c r="L58" s="8"/>
      <c r="M58" s="8"/>
      <c r="N58" s="8"/>
    </row>
    <row r="59" spans="1:14" ht="14.25" hidden="1">
      <c r="A59" s="10"/>
      <c r="E59" s="11"/>
      <c r="F59" s="11"/>
      <c r="H59" s="14">
        <f>IF(C$7="Low",1,0)</f>
        <v>0</v>
      </c>
      <c r="I59" s="35" t="s">
        <v>121</v>
      </c>
      <c r="J59" s="10"/>
      <c r="K59" s="10"/>
      <c r="L59" s="8"/>
      <c r="M59" s="8"/>
      <c r="N59" s="8"/>
    </row>
    <row r="60" spans="1:14" ht="14.25" hidden="1">
      <c r="A60" s="10"/>
      <c r="E60" s="11"/>
      <c r="F60" s="11"/>
      <c r="G60" s="11"/>
      <c r="H60" s="11"/>
      <c r="I60" s="11"/>
      <c r="J60" s="10"/>
      <c r="K60" s="10"/>
      <c r="L60" s="8"/>
      <c r="M60" s="8"/>
      <c r="N60" s="8"/>
    </row>
    <row r="61" spans="1:11" ht="15" hidden="1">
      <c r="A61" s="10"/>
      <c r="E61" s="11"/>
      <c r="F61" s="11"/>
      <c r="G61" s="25" t="s">
        <v>122</v>
      </c>
      <c r="H61" s="11"/>
      <c r="I61" s="11"/>
      <c r="J61" s="10"/>
      <c r="K61" s="10"/>
    </row>
    <row r="62" spans="1:11" ht="14.25" hidden="1">
      <c r="A62" s="10"/>
      <c r="E62" s="11"/>
      <c r="F62" s="11"/>
      <c r="G62" s="72">
        <f>H58*0.0000013+H59*0.0000003</f>
        <v>1.3E-06</v>
      </c>
      <c r="H62" s="11"/>
      <c r="I62" s="11"/>
      <c r="J62" s="10"/>
      <c r="K62" s="10"/>
    </row>
    <row r="63" spans="1:11" ht="14.25" hidden="1">
      <c r="A63" s="10"/>
      <c r="E63" s="11"/>
      <c r="F63" s="11"/>
      <c r="G63" s="11"/>
      <c r="H63" s="11"/>
      <c r="I63" s="11"/>
      <c r="J63" s="10"/>
      <c r="K63" s="10"/>
    </row>
    <row r="64" spans="1:11" ht="14.25" hidden="1">
      <c r="A64" s="10"/>
      <c r="E64" s="11"/>
      <c r="F64" s="11"/>
      <c r="G64" s="11"/>
      <c r="H64" s="11"/>
      <c r="I64" s="11"/>
      <c r="J64" s="10"/>
      <c r="K64" s="10"/>
    </row>
    <row r="65" spans="1:11" ht="14.25">
      <c r="A65" s="10"/>
      <c r="E65" s="11"/>
      <c r="F65" s="11"/>
      <c r="G65" s="11"/>
      <c r="H65" s="11"/>
      <c r="I65" s="11"/>
      <c r="J65" s="10"/>
      <c r="K65" s="10"/>
    </row>
    <row r="66" spans="1:11" ht="14.25">
      <c r="A66" s="10"/>
      <c r="E66" s="11"/>
      <c r="F66" s="11"/>
      <c r="G66" s="11"/>
      <c r="H66" s="11"/>
      <c r="I66" s="11"/>
      <c r="J66" s="10"/>
      <c r="K66" s="10"/>
    </row>
    <row r="67" spans="1:11" ht="14.25">
      <c r="A67" s="10"/>
      <c r="E67" s="11"/>
      <c r="F67" s="11"/>
      <c r="G67" s="11"/>
      <c r="H67" s="11"/>
      <c r="I67" s="11"/>
      <c r="J67" s="10"/>
      <c r="K67" s="10"/>
    </row>
    <row r="68" spans="1:11" ht="14.25">
      <c r="A68" s="10"/>
      <c r="E68" s="11"/>
      <c r="F68" s="11"/>
      <c r="G68" s="11"/>
      <c r="H68" s="11"/>
      <c r="I68" s="11"/>
      <c r="J68" s="10"/>
      <c r="K68" s="10"/>
    </row>
    <row r="69" spans="1:11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</sheetData>
  <sheetProtection password="8441" sheet="1" objects="1" scenarios="1"/>
  <mergeCells count="3">
    <mergeCell ref="B5:C5"/>
    <mergeCell ref="B18:C18"/>
    <mergeCell ref="B11:C11"/>
  </mergeCells>
  <printOptions horizontalCentered="1"/>
  <pageMargins left="0.5" right="0.5" top="1" bottom="0.75" header="0.5" footer="0.5"/>
  <pageSetup horizontalDpi="300" verticalDpi="300" orientation="landscape" r:id="rId4"/>
  <headerFooter alignWithMargins="0">
    <oddFooter>&amp;LCSS/F.Bohac&amp;R&amp;F</oddFooter>
  </headerFooter>
  <rowBreaks count="1" manualBreakCount="1">
    <brk id="27" max="255" man="1"/>
  </rowBreaks>
  <colBreaks count="1" manualBreakCount="1">
    <brk id="10" max="65535" man="1"/>
  </colBreaks>
  <drawing r:id="rId3"/>
  <legacyDrawing r:id="rId2"/>
  <oleObjects>
    <oleObject progId="MSDraw" shapeId="2582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31"/>
  <sheetViews>
    <sheetView showGridLines="0" showRowColHeaders="0" zoomScale="90" zoomScaleNormal="90" workbookViewId="0" topLeftCell="A1">
      <selection activeCell="A3" sqref="A3"/>
    </sheetView>
  </sheetViews>
  <sheetFormatPr defaultColWidth="9.00390625" defaultRowHeight="14.25"/>
  <cols>
    <col min="1" max="1" width="3.125" style="0" customWidth="1"/>
    <col min="2" max="2" width="18.625" style="0" customWidth="1"/>
  </cols>
  <sheetData>
    <row r="1" spans="3:11" ht="28.5" customHeight="1">
      <c r="C1" s="27" t="s">
        <v>88</v>
      </c>
      <c r="K1" s="4">
        <v>40150</v>
      </c>
    </row>
    <row r="2" spans="1:3" ht="22.5" customHeight="1">
      <c r="A2" s="2"/>
      <c r="C2" s="24" t="s">
        <v>101</v>
      </c>
    </row>
    <row r="3" ht="15.75">
      <c r="C3" s="24" t="s">
        <v>103</v>
      </c>
    </row>
    <row r="4" ht="15">
      <c r="C4" s="78" t="s">
        <v>66</v>
      </c>
    </row>
    <row r="5" ht="15.75">
      <c r="A5" s="51" t="s">
        <v>63</v>
      </c>
    </row>
    <row r="6" spans="1:2" ht="15">
      <c r="A6" s="75" t="s">
        <v>128</v>
      </c>
      <c r="B6" t="s">
        <v>57</v>
      </c>
    </row>
    <row r="7" spans="1:2" ht="15">
      <c r="A7" s="76" t="s">
        <v>129</v>
      </c>
      <c r="B7" t="s">
        <v>58</v>
      </c>
    </row>
    <row r="8" spans="1:2" ht="15">
      <c r="A8" s="77" t="s">
        <v>130</v>
      </c>
      <c r="B8" t="s">
        <v>127</v>
      </c>
    </row>
    <row r="10" ht="15.75">
      <c r="A10" s="51" t="s">
        <v>64</v>
      </c>
    </row>
    <row r="11" ht="14.25">
      <c r="B11" t="s">
        <v>131</v>
      </c>
    </row>
    <row r="12" ht="14.25">
      <c r="B12" t="s">
        <v>125</v>
      </c>
    </row>
    <row r="13" ht="14.25">
      <c r="B13" t="s">
        <v>132</v>
      </c>
    </row>
    <row r="14" ht="14.25">
      <c r="B14" t="s">
        <v>126</v>
      </c>
    </row>
    <row r="15" ht="14.25">
      <c r="B15" t="s">
        <v>89</v>
      </c>
    </row>
    <row r="16" ht="14.25">
      <c r="B16" t="s">
        <v>94</v>
      </c>
    </row>
    <row r="17" ht="14.25">
      <c r="B17" t="s">
        <v>59</v>
      </c>
    </row>
    <row r="18" ht="14.25">
      <c r="B18" t="s">
        <v>60</v>
      </c>
    </row>
    <row r="19" ht="14.25">
      <c r="C19" t="s">
        <v>90</v>
      </c>
    </row>
    <row r="20" ht="14.25">
      <c r="B20" t="s">
        <v>91</v>
      </c>
    </row>
    <row r="21" ht="14.25">
      <c r="B21" t="s">
        <v>61</v>
      </c>
    </row>
    <row r="23" ht="15.75">
      <c r="A23" s="51" t="s">
        <v>56</v>
      </c>
    </row>
    <row r="24" ht="14.25">
      <c r="B24" t="s">
        <v>95</v>
      </c>
    </row>
    <row r="25" ht="14.25">
      <c r="B25" t="s">
        <v>96</v>
      </c>
    </row>
    <row r="26" ht="14.25">
      <c r="B26" t="s">
        <v>62</v>
      </c>
    </row>
    <row r="27" ht="14.25">
      <c r="B27" t="s">
        <v>92</v>
      </c>
    </row>
    <row r="28" ht="14.25">
      <c r="B28" t="s">
        <v>93</v>
      </c>
    </row>
    <row r="29" ht="14.25">
      <c r="B29" t="s">
        <v>65</v>
      </c>
    </row>
    <row r="30" ht="14.25">
      <c r="B30" t="s">
        <v>134</v>
      </c>
    </row>
    <row r="31" ht="14.25">
      <c r="B31" t="s">
        <v>135</v>
      </c>
    </row>
  </sheetData>
  <sheetProtection password="8441" sheet="1" objects="1" scenarios="1"/>
  <printOptions/>
  <pageMargins left="0.75" right="0.75" top="1" bottom="1" header="0.5" footer="0.5"/>
  <pageSetup horizontalDpi="600" verticalDpi="600" orientation="landscape" scale="95" r:id="rId3"/>
  <rowBreaks count="1" manualBreakCount="1">
    <brk id="30" max="255" man="1"/>
  </rowBreaks>
  <colBreaks count="1" manualBreakCount="1">
    <brk id="12" max="65535" man="1"/>
  </colBreaks>
  <legacyDrawing r:id="rId2"/>
  <oleObjects>
    <oleObject progId="MSDraw" shapeId="20049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32"/>
  <sheetViews>
    <sheetView showGridLines="0" showRowColHeaders="0" zoomScale="90" zoomScaleNormal="90" workbookViewId="0" topLeftCell="A1">
      <selection activeCell="A3" sqref="A3"/>
    </sheetView>
  </sheetViews>
  <sheetFormatPr defaultColWidth="9.00390625" defaultRowHeight="14.25"/>
  <cols>
    <col min="1" max="1" width="3.125" style="0" customWidth="1"/>
    <col min="2" max="2" width="18.625" style="0" customWidth="1"/>
  </cols>
  <sheetData>
    <row r="1" spans="3:11" ht="28.5" customHeight="1">
      <c r="C1" s="27" t="s">
        <v>88</v>
      </c>
      <c r="K1" s="4">
        <v>40150</v>
      </c>
    </row>
    <row r="2" spans="1:3" ht="22.5" customHeight="1">
      <c r="A2" s="2"/>
      <c r="C2" s="24" t="s">
        <v>102</v>
      </c>
    </row>
    <row r="3" spans="1:3" ht="15" customHeight="1">
      <c r="A3" s="2"/>
      <c r="C3" s="24" t="s">
        <v>107</v>
      </c>
    </row>
    <row r="4" ht="15.75">
      <c r="C4" s="24" t="s">
        <v>66</v>
      </c>
    </row>
    <row r="5" ht="15.75">
      <c r="A5" s="51" t="s">
        <v>63</v>
      </c>
    </row>
    <row r="6" spans="1:2" ht="15">
      <c r="A6" s="75" t="s">
        <v>128</v>
      </c>
      <c r="B6" t="s">
        <v>57</v>
      </c>
    </row>
    <row r="7" spans="1:2" ht="15">
      <c r="A7" s="76" t="s">
        <v>129</v>
      </c>
      <c r="B7" t="s">
        <v>58</v>
      </c>
    </row>
    <row r="8" spans="1:2" ht="15">
      <c r="A8" s="77" t="s">
        <v>130</v>
      </c>
      <c r="B8" t="s">
        <v>127</v>
      </c>
    </row>
    <row r="10" ht="15.75">
      <c r="A10" s="51" t="s">
        <v>64</v>
      </c>
    </row>
    <row r="11" ht="14.25">
      <c r="B11" t="s">
        <v>131</v>
      </c>
    </row>
    <row r="12" ht="14.25">
      <c r="B12" t="s">
        <v>125</v>
      </c>
    </row>
    <row r="13" ht="14.25">
      <c r="B13" t="s">
        <v>132</v>
      </c>
    </row>
    <row r="14" ht="14.25">
      <c r="B14" t="s">
        <v>126</v>
      </c>
    </row>
    <row r="15" ht="14.25">
      <c r="B15" t="s">
        <v>89</v>
      </c>
    </row>
    <row r="16" ht="14.25">
      <c r="B16" t="s">
        <v>100</v>
      </c>
    </row>
    <row r="17" ht="14.25">
      <c r="B17" t="s">
        <v>59</v>
      </c>
    </row>
    <row r="18" ht="14.25">
      <c r="B18" t="s">
        <v>60</v>
      </c>
    </row>
    <row r="19" ht="14.25">
      <c r="C19" t="s">
        <v>90</v>
      </c>
    </row>
    <row r="20" ht="14.25">
      <c r="B20" t="s">
        <v>91</v>
      </c>
    </row>
    <row r="21" ht="14.25">
      <c r="B21" t="s">
        <v>61</v>
      </c>
    </row>
    <row r="23" ht="15.75">
      <c r="A23" s="51" t="s">
        <v>56</v>
      </c>
    </row>
    <row r="24" ht="14.25">
      <c r="B24" t="s">
        <v>95</v>
      </c>
    </row>
    <row r="25" ht="14.25">
      <c r="B25" t="s">
        <v>96</v>
      </c>
    </row>
    <row r="26" ht="14.25">
      <c r="B26" t="s">
        <v>112</v>
      </c>
    </row>
    <row r="27" ht="14.25">
      <c r="B27" t="s">
        <v>62</v>
      </c>
    </row>
    <row r="28" ht="14.25">
      <c r="B28" t="s">
        <v>92</v>
      </c>
    </row>
    <row r="29" ht="14.25">
      <c r="B29" t="s">
        <v>93</v>
      </c>
    </row>
    <row r="30" ht="14.25">
      <c r="B30" t="s">
        <v>65</v>
      </c>
    </row>
    <row r="31" ht="14.25">
      <c r="B31" t="s">
        <v>134</v>
      </c>
    </row>
    <row r="32" ht="14.25">
      <c r="B32" t="s">
        <v>135</v>
      </c>
    </row>
  </sheetData>
  <sheetProtection password="8441" sheet="1" objects="1" scenarios="1"/>
  <printOptions/>
  <pageMargins left="0.75" right="0.75" top="1" bottom="1" header="0.5" footer="0.5"/>
  <pageSetup horizontalDpi="600" verticalDpi="600" orientation="landscape" scale="95" r:id="rId3"/>
  <rowBreaks count="1" manualBreakCount="1">
    <brk id="31" max="255" man="1"/>
  </rowBreaks>
  <colBreaks count="1" manualBreakCount="1">
    <brk id="12" max="65535" man="1"/>
  </colBreaks>
  <legacyDrawing r:id="rId2"/>
  <oleObjects>
    <oleObject progId="MSDraw" shapeId="137868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32"/>
  <sheetViews>
    <sheetView showGridLines="0" showRowColHeaders="0" zoomScale="90" zoomScaleNormal="90" workbookViewId="0" topLeftCell="A1">
      <selection activeCell="A3" sqref="A3"/>
    </sheetView>
  </sheetViews>
  <sheetFormatPr defaultColWidth="9.00390625" defaultRowHeight="14.25"/>
  <cols>
    <col min="1" max="1" width="3.125" style="0" customWidth="1"/>
    <col min="2" max="2" width="18.625" style="0" customWidth="1"/>
  </cols>
  <sheetData>
    <row r="1" spans="3:11" ht="28.5" customHeight="1">
      <c r="C1" s="27" t="s">
        <v>88</v>
      </c>
      <c r="K1" s="4">
        <v>40150</v>
      </c>
    </row>
    <row r="2" spans="1:3" ht="22.5" customHeight="1">
      <c r="A2" s="2"/>
      <c r="C2" s="24" t="s">
        <v>105</v>
      </c>
    </row>
    <row r="3" spans="1:3" ht="15" customHeight="1">
      <c r="A3" s="2"/>
      <c r="C3" s="24" t="s">
        <v>106</v>
      </c>
    </row>
    <row r="4" ht="15.75">
      <c r="C4" s="24" t="s">
        <v>66</v>
      </c>
    </row>
    <row r="5" ht="15.75">
      <c r="A5" s="51" t="s">
        <v>63</v>
      </c>
    </row>
    <row r="6" spans="1:2" ht="15">
      <c r="A6" s="75" t="s">
        <v>128</v>
      </c>
      <c r="B6" t="s">
        <v>57</v>
      </c>
    </row>
    <row r="7" spans="1:2" ht="15">
      <c r="A7" s="76" t="s">
        <v>129</v>
      </c>
      <c r="B7" t="s">
        <v>58</v>
      </c>
    </row>
    <row r="8" spans="1:2" ht="15">
      <c r="A8" s="77" t="s">
        <v>130</v>
      </c>
      <c r="B8" t="s">
        <v>127</v>
      </c>
    </row>
    <row r="10" ht="15.75">
      <c r="A10" s="51" t="s">
        <v>64</v>
      </c>
    </row>
    <row r="11" ht="14.25">
      <c r="B11" t="s">
        <v>131</v>
      </c>
    </row>
    <row r="12" ht="14.25">
      <c r="B12" t="s">
        <v>125</v>
      </c>
    </row>
    <row r="13" ht="14.25">
      <c r="B13" t="s">
        <v>132</v>
      </c>
    </row>
    <row r="14" ht="14.25">
      <c r="B14" t="s">
        <v>126</v>
      </c>
    </row>
    <row r="15" ht="14.25">
      <c r="B15" t="s">
        <v>89</v>
      </c>
    </row>
    <row r="16" ht="14.25">
      <c r="B16" t="s">
        <v>100</v>
      </c>
    </row>
    <row r="17" ht="14.25">
      <c r="B17" t="s">
        <v>59</v>
      </c>
    </row>
    <row r="18" ht="14.25">
      <c r="B18" t="s">
        <v>60</v>
      </c>
    </row>
    <row r="19" ht="14.25">
      <c r="C19" t="s">
        <v>90</v>
      </c>
    </row>
    <row r="20" ht="14.25">
      <c r="B20" t="s">
        <v>91</v>
      </c>
    </row>
    <row r="21" ht="14.25">
      <c r="B21" t="s">
        <v>61</v>
      </c>
    </row>
    <row r="23" ht="15.75">
      <c r="A23" s="51" t="s">
        <v>56</v>
      </c>
    </row>
    <row r="24" ht="14.25">
      <c r="B24" t="s">
        <v>95</v>
      </c>
    </row>
    <row r="25" ht="14.25">
      <c r="B25" t="s">
        <v>96</v>
      </c>
    </row>
    <row r="26" ht="14.25">
      <c r="B26" t="s">
        <v>108</v>
      </c>
    </row>
    <row r="27" ht="14.25">
      <c r="B27" t="s">
        <v>62</v>
      </c>
    </row>
    <row r="28" ht="14.25">
      <c r="B28" t="s">
        <v>92</v>
      </c>
    </row>
    <row r="29" ht="14.25">
      <c r="B29" t="s">
        <v>93</v>
      </c>
    </row>
    <row r="30" ht="14.25">
      <c r="B30" t="s">
        <v>65</v>
      </c>
    </row>
    <row r="31" ht="14.25">
      <c r="B31" t="s">
        <v>134</v>
      </c>
    </row>
    <row r="32" ht="14.25">
      <c r="B32" t="s">
        <v>135</v>
      </c>
    </row>
  </sheetData>
  <sheetProtection password="8441" sheet="1" objects="1" scenarios="1"/>
  <printOptions/>
  <pageMargins left="0.75" right="0.75" top="1" bottom="1" header="0.5" footer="0.5"/>
  <pageSetup horizontalDpi="600" verticalDpi="600" orientation="landscape" scale="95" r:id="rId3"/>
  <rowBreaks count="1" manualBreakCount="1">
    <brk id="31" max="255" man="1"/>
  </rowBreaks>
  <colBreaks count="1" manualBreakCount="1">
    <brk id="12" max="65535" man="1"/>
  </colBreaks>
  <legacyDrawing r:id="rId2"/>
  <oleObjects>
    <oleObject progId="MSDraw" shapeId="3530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CSS555_RF_Calc.xls</dc:title>
  <dc:subject>CSS555 Freq &amp; Duty Cycle Calculator</dc:subject>
  <dc:creator>Frank Bohac</dc:creator>
  <cp:keywords/>
  <dc:description>Includes resistor RF (from Timer out)
for adjusting duty cycle
</dc:description>
  <cp:lastModifiedBy> </cp:lastModifiedBy>
  <cp:lastPrinted>2009-04-29T18:27:21Z</cp:lastPrinted>
  <dcterms:modified xsi:type="dcterms:W3CDTF">2009-12-04T00:20:12Z</dcterms:modified>
  <cp:category/>
  <cp:version/>
  <cp:contentType/>
  <cp:contentStatus/>
</cp:coreProperties>
</file>